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C:\Users\jlopez\OneDrive - Lynn University\H Drive\Clasess\Valuation Stuff for competitions\Valuation class\Student valuations\"/>
    </mc:Choice>
  </mc:AlternateContent>
  <xr:revisionPtr revIDLastSave="0" documentId="8_{DB8F4C60-8CB3-7045-B095-71861F8F0A05}" xr6:coauthVersionLast="43" xr6:coauthVersionMax="43" xr10:uidLastSave="{00000000-0000-0000-0000-000000000000}"/>
  <workbookProtection workbookAlgorithmName="SHA-512" workbookHashValue="Vpz1yyPBAT/kGKHAkyTxzBXXeCxwH/IHjO2SngCHKxT3Ry1mgywChhqlpAgAgWUgLhORJWtRVr7hF8NJF3m4wg==" workbookSaltValue="sPelU/RPUNwe1CyDe6CbYg==" workbookSpinCount="100000" lockStructure="1"/>
  <bookViews>
    <workbookView xWindow="0" yWindow="0" windowWidth="28800" windowHeight="12300" firstSheet="1" activeTab="9" xr2:uid="{00000000-000D-0000-FFFF-FFFF00000000}"/>
  </bookViews>
  <sheets>
    <sheet name="Integrated financial statement" sheetId="5" r:id="rId1"/>
    <sheet name="DCF" sheetId="12" r:id="rId2"/>
    <sheet name="WACC" sheetId="13" r:id="rId3"/>
    <sheet name="CAPM" sheetId="15" r:id="rId4"/>
    <sheet name="Consolidated I S 2016" sheetId="2" r:id="rId5"/>
    <sheet name="Consolidated BS 2015" sheetId="7" r:id="rId6"/>
    <sheet name="Consolidated BS 2016" sheetId="3" r:id="rId7"/>
    <sheet name="Consolidated C F 2016" sheetId="4" r:id="rId8"/>
    <sheet name="Treasury Stock" sheetId="14" r:id="rId9"/>
    <sheet name="Note 3" sheetId="9" r:id="rId10"/>
    <sheet name="LT Assets" sheetId="10" r:id="rId11"/>
  </sheets>
  <definedNames>
    <definedName name="Hist_Yr">'Integrated financial statement'!$D$36</definedName>
  </definedNames>
  <calcPr calcId="191028" calcMode="autoNoTable" iterate="1" calcOnSave="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E22" i="13" l="1"/>
  <c r="I35" i="12"/>
  <c r="I36" i="12"/>
  <c r="I37" i="12"/>
  <c r="I38" i="12"/>
  <c r="C8" i="5"/>
  <c r="C9" i="5"/>
  <c r="C10" i="5"/>
  <c r="C11" i="5"/>
  <c r="C12" i="5"/>
  <c r="C13" i="5"/>
  <c r="C14" i="5"/>
  <c r="C15" i="5"/>
  <c r="C16" i="5"/>
  <c r="C17" i="5"/>
  <c r="C20" i="5"/>
  <c r="C21" i="5"/>
  <c r="C22" i="5"/>
  <c r="C23" i="5"/>
  <c r="C24" i="5"/>
  <c r="C25" i="5"/>
  <c r="C26" i="5"/>
  <c r="C27" i="5"/>
  <c r="C28" i="5"/>
  <c r="C29" i="5"/>
  <c r="C31" i="5"/>
  <c r="G6" i="12"/>
  <c r="D8" i="5"/>
  <c r="D9" i="5"/>
  <c r="D10" i="5"/>
  <c r="D11" i="5"/>
  <c r="D12" i="5"/>
  <c r="D13" i="5"/>
  <c r="D14" i="5"/>
  <c r="D15" i="5"/>
  <c r="D16" i="5"/>
  <c r="D17" i="5"/>
  <c r="D20" i="5"/>
  <c r="D21" i="5"/>
  <c r="D22" i="5"/>
  <c r="D23" i="5"/>
  <c r="D24" i="5"/>
  <c r="D25" i="5"/>
  <c r="D26" i="5"/>
  <c r="D27" i="5"/>
  <c r="D28" i="5"/>
  <c r="D29" i="5"/>
  <c r="D31" i="5"/>
  <c r="H6" i="12"/>
  <c r="E18" i="5"/>
  <c r="E17" i="5"/>
  <c r="B20" i="5"/>
  <c r="B21" i="5"/>
  <c r="B22" i="5"/>
  <c r="B23" i="5"/>
  <c r="B24" i="5"/>
  <c r="B25" i="5"/>
  <c r="B26" i="5"/>
  <c r="B27" i="5"/>
  <c r="B28" i="5"/>
  <c r="B29" i="5"/>
  <c r="B8" i="5"/>
  <c r="B9" i="5"/>
  <c r="B10" i="5"/>
  <c r="B11" i="5"/>
  <c r="B12" i="5"/>
  <c r="B13" i="5"/>
  <c r="B14" i="5"/>
  <c r="B15" i="5"/>
  <c r="B16" i="5"/>
  <c r="B17" i="5"/>
  <c r="B30" i="5"/>
  <c r="C30" i="5"/>
  <c r="D30" i="5"/>
  <c r="E30" i="5"/>
  <c r="E29" i="5"/>
  <c r="E31" i="5"/>
  <c r="I6" i="12"/>
  <c r="F18" i="5"/>
  <c r="F17" i="5"/>
  <c r="F29" i="5"/>
  <c r="F31" i="5"/>
  <c r="J6" i="12"/>
  <c r="B31" i="5"/>
  <c r="F6" i="12"/>
  <c r="I83" i="5"/>
  <c r="H83" i="5"/>
  <c r="G83" i="5"/>
  <c r="F83" i="5"/>
  <c r="E83" i="5"/>
  <c r="F34" i="5"/>
  <c r="R37" i="5"/>
  <c r="S37" i="5"/>
  <c r="T37" i="5"/>
  <c r="B90" i="5"/>
  <c r="B160" i="5"/>
  <c r="B159" i="5"/>
  <c r="B161" i="5"/>
  <c r="C91" i="5"/>
  <c r="C160" i="5"/>
  <c r="D91" i="5"/>
  <c r="D160" i="5"/>
  <c r="G160" i="5"/>
  <c r="E160" i="5"/>
  <c r="F160" i="5"/>
  <c r="H160" i="5"/>
  <c r="I160" i="5"/>
  <c r="C159" i="5"/>
  <c r="C155" i="5"/>
  <c r="C161" i="5"/>
  <c r="B83" i="5"/>
  <c r="B77" i="5"/>
  <c r="C77" i="5"/>
  <c r="D77" i="5"/>
  <c r="E77" i="5"/>
  <c r="D78" i="5"/>
  <c r="E78" i="5"/>
  <c r="E33" i="5"/>
  <c r="E35" i="5"/>
  <c r="B36" i="5"/>
  <c r="C36" i="5"/>
  <c r="D36" i="5"/>
  <c r="E36" i="5"/>
  <c r="E37" i="5"/>
  <c r="B79" i="5"/>
  <c r="B33" i="5"/>
  <c r="B35" i="5"/>
  <c r="B37" i="5"/>
  <c r="O86" i="5"/>
  <c r="C79" i="5"/>
  <c r="C33" i="5"/>
  <c r="C35" i="5"/>
  <c r="C37" i="5"/>
  <c r="P86" i="5"/>
  <c r="D79" i="5"/>
  <c r="D33" i="5"/>
  <c r="D35" i="5"/>
  <c r="D37" i="5"/>
  <c r="Q86" i="5"/>
  <c r="R86" i="5"/>
  <c r="E79" i="5"/>
  <c r="B81" i="5"/>
  <c r="C81" i="5"/>
  <c r="D81" i="5"/>
  <c r="E81" i="5"/>
  <c r="D82" i="5"/>
  <c r="E82" i="5"/>
  <c r="B84" i="5"/>
  <c r="C84" i="5"/>
  <c r="D84" i="5"/>
  <c r="E84" i="5"/>
  <c r="E85" i="5"/>
  <c r="U37" i="5"/>
  <c r="V37" i="5"/>
  <c r="D159" i="5"/>
  <c r="C90" i="5"/>
  <c r="D155" i="5"/>
  <c r="D161" i="5"/>
  <c r="B61" i="5"/>
  <c r="O68" i="5"/>
  <c r="C61" i="5"/>
  <c r="P68" i="5"/>
  <c r="D61" i="5"/>
  <c r="Q68" i="5"/>
  <c r="R68" i="5"/>
  <c r="E61" i="5"/>
  <c r="B63" i="5"/>
  <c r="O65" i="5"/>
  <c r="C63" i="5"/>
  <c r="P65" i="5"/>
  <c r="D63" i="5"/>
  <c r="Q65" i="5"/>
  <c r="R65" i="5"/>
  <c r="E63" i="5"/>
  <c r="B64" i="5"/>
  <c r="O66" i="5"/>
  <c r="C64" i="5"/>
  <c r="P66" i="5"/>
  <c r="D64" i="5"/>
  <c r="Q66" i="5"/>
  <c r="R66" i="5"/>
  <c r="E64" i="5"/>
  <c r="B65" i="5"/>
  <c r="O67" i="5"/>
  <c r="C65" i="5"/>
  <c r="P67" i="5"/>
  <c r="D65" i="5"/>
  <c r="Q67" i="5"/>
  <c r="R67" i="5"/>
  <c r="E65" i="5"/>
  <c r="B67" i="5"/>
  <c r="B68" i="5"/>
  <c r="O52" i="5"/>
  <c r="C67" i="5"/>
  <c r="C68" i="5"/>
  <c r="P52" i="5"/>
  <c r="D67" i="5"/>
  <c r="D68" i="5"/>
  <c r="Q52" i="5"/>
  <c r="R52" i="5"/>
  <c r="E69" i="5"/>
  <c r="B70" i="5"/>
  <c r="O69" i="5"/>
  <c r="C70" i="5"/>
  <c r="P69" i="5"/>
  <c r="D70" i="5"/>
  <c r="Q69" i="5"/>
  <c r="R69" i="5"/>
  <c r="E70" i="5"/>
  <c r="B71" i="5"/>
  <c r="O71" i="5"/>
  <c r="C71" i="5"/>
  <c r="P71" i="5"/>
  <c r="D71" i="5"/>
  <c r="Q71" i="5"/>
  <c r="R71" i="5"/>
  <c r="E71" i="5"/>
  <c r="B72" i="5"/>
  <c r="O70" i="5"/>
  <c r="C72" i="5"/>
  <c r="P70" i="5"/>
  <c r="D72" i="5"/>
  <c r="Q70" i="5"/>
  <c r="R70" i="5"/>
  <c r="E72" i="5"/>
  <c r="B73" i="5"/>
  <c r="O56" i="5"/>
  <c r="C73" i="5"/>
  <c r="P56" i="5"/>
  <c r="D73" i="5"/>
  <c r="Q56" i="5"/>
  <c r="R56" i="5"/>
  <c r="E73" i="5"/>
  <c r="E74" i="5"/>
  <c r="B89" i="5"/>
  <c r="P83" i="5"/>
  <c r="Q83" i="5"/>
  <c r="R83" i="5"/>
  <c r="S83" i="5"/>
  <c r="T83" i="5"/>
  <c r="U83" i="5"/>
  <c r="V83" i="5"/>
  <c r="P49" i="5"/>
  <c r="Q49" i="5"/>
  <c r="R49" i="5"/>
  <c r="S49" i="5"/>
  <c r="T49" i="5"/>
  <c r="U49" i="5"/>
  <c r="V49" i="5"/>
  <c r="E34" i="5"/>
  <c r="I34" i="5"/>
  <c r="G34" i="5"/>
  <c r="H34" i="5"/>
  <c r="G40" i="12"/>
  <c r="D7" i="15"/>
  <c r="D8" i="15"/>
  <c r="F14" i="13"/>
  <c r="F11" i="13"/>
  <c r="E21" i="13"/>
  <c r="E11" i="14"/>
  <c r="C17" i="13"/>
  <c r="C14" i="13"/>
  <c r="C11" i="13"/>
  <c r="C8" i="13"/>
  <c r="F8" i="13"/>
  <c r="F17" i="13"/>
  <c r="F18" i="13"/>
  <c r="E23" i="13"/>
  <c r="F15" i="13"/>
  <c r="F12" i="12"/>
  <c r="G13" i="12"/>
  <c r="G4" i="12"/>
  <c r="H4" i="12"/>
  <c r="I4" i="12"/>
  <c r="F19" i="13"/>
  <c r="G5" i="13"/>
  <c r="D10" i="12"/>
  <c r="G15" i="12"/>
  <c r="G12" i="12"/>
  <c r="I12" i="12"/>
  <c r="J4" i="12"/>
  <c r="J12" i="12"/>
  <c r="H12" i="12"/>
  <c r="H13" i="12"/>
  <c r="I123" i="5"/>
  <c r="H123" i="5"/>
  <c r="G123" i="5"/>
  <c r="F123" i="5"/>
  <c r="E123" i="5"/>
  <c r="E140" i="5"/>
  <c r="E148" i="5"/>
  <c r="F149" i="5"/>
  <c r="G149" i="5"/>
  <c r="H149" i="5"/>
  <c r="I149" i="5"/>
  <c r="F148" i="5"/>
  <c r="G148" i="5"/>
  <c r="H148" i="5"/>
  <c r="I148" i="5"/>
  <c r="E149" i="5"/>
  <c r="S23" i="5"/>
  <c r="T23" i="5"/>
  <c r="U23" i="5"/>
  <c r="V23" i="5"/>
  <c r="H151" i="5"/>
  <c r="I151" i="5"/>
  <c r="G151" i="5"/>
  <c r="E151" i="5"/>
  <c r="F151" i="5"/>
  <c r="F15" i="12"/>
  <c r="J21" i="12"/>
  <c r="H15" i="12"/>
  <c r="I13" i="12"/>
  <c r="C58" i="5"/>
  <c r="D58" i="5"/>
  <c r="D90" i="5"/>
  <c r="B58" i="5"/>
  <c r="G18" i="5"/>
  <c r="H18" i="5"/>
  <c r="I18" i="5"/>
  <c r="B57" i="5"/>
  <c r="C57" i="5"/>
  <c r="D57" i="5"/>
  <c r="C8" i="10"/>
  <c r="D8" i="10"/>
  <c r="E8" i="10"/>
  <c r="F8" i="10"/>
  <c r="B8" i="10"/>
  <c r="B91" i="5"/>
  <c r="Q89" i="5"/>
  <c r="B118" i="5"/>
  <c r="O92" i="5"/>
  <c r="C118" i="5"/>
  <c r="P92" i="5"/>
  <c r="D118" i="5"/>
  <c r="Q92" i="5"/>
  <c r="C119" i="5"/>
  <c r="D119" i="5"/>
  <c r="B119" i="5"/>
  <c r="C92" i="5"/>
  <c r="D92" i="5"/>
  <c r="B92" i="5"/>
  <c r="B102" i="5"/>
  <c r="C102" i="5"/>
  <c r="P84" i="5"/>
  <c r="D102" i="5"/>
  <c r="Q84" i="5"/>
  <c r="C56" i="5"/>
  <c r="D56" i="5"/>
  <c r="B56" i="5"/>
  <c r="D48" i="5"/>
  <c r="E133" i="5"/>
  <c r="B115" i="5"/>
  <c r="C115" i="5"/>
  <c r="D115" i="5"/>
  <c r="C110" i="5"/>
  <c r="D110" i="5"/>
  <c r="B110" i="5"/>
  <c r="B93" i="5"/>
  <c r="B95" i="5"/>
  <c r="B96" i="5"/>
  <c r="B97" i="5"/>
  <c r="B98" i="5"/>
  <c r="B99" i="5"/>
  <c r="D109" i="5"/>
  <c r="D111" i="5"/>
  <c r="D112" i="5"/>
  <c r="D113" i="5"/>
  <c r="D114" i="5"/>
  <c r="D116" i="5"/>
  <c r="D117" i="5"/>
  <c r="D120" i="5"/>
  <c r="D121" i="5"/>
  <c r="D122" i="5"/>
  <c r="D123" i="5"/>
  <c r="C109" i="5"/>
  <c r="C111" i="5"/>
  <c r="C112" i="5"/>
  <c r="C113" i="5"/>
  <c r="C114" i="5"/>
  <c r="C116" i="5"/>
  <c r="C117" i="5"/>
  <c r="C120" i="5"/>
  <c r="C121" i="5"/>
  <c r="C122" i="5"/>
  <c r="C123" i="5"/>
  <c r="B103" i="5"/>
  <c r="B104" i="5"/>
  <c r="B105" i="5"/>
  <c r="B106" i="5"/>
  <c r="B109" i="5"/>
  <c r="B111" i="5"/>
  <c r="B112" i="5"/>
  <c r="B113" i="5"/>
  <c r="B114" i="5"/>
  <c r="B116" i="5"/>
  <c r="B117" i="5"/>
  <c r="B120" i="5"/>
  <c r="B121" i="5"/>
  <c r="B122" i="5"/>
  <c r="B123" i="5"/>
  <c r="C93" i="5"/>
  <c r="C95" i="5"/>
  <c r="C96" i="5"/>
  <c r="C97" i="5"/>
  <c r="C98" i="5"/>
  <c r="C99" i="5"/>
  <c r="C103" i="5"/>
  <c r="C104" i="5"/>
  <c r="C105" i="5"/>
  <c r="C106" i="5"/>
  <c r="D93" i="5"/>
  <c r="D95" i="5"/>
  <c r="D96" i="5"/>
  <c r="D97" i="5"/>
  <c r="D98" i="5"/>
  <c r="D99" i="5"/>
  <c r="D103" i="5"/>
  <c r="D104" i="5"/>
  <c r="D105" i="5"/>
  <c r="D106" i="5"/>
  <c r="D19" i="2"/>
  <c r="C19" i="2"/>
  <c r="D83" i="5"/>
  <c r="C83" i="5"/>
  <c r="C82" i="5"/>
  <c r="F78" i="5"/>
  <c r="G78" i="5"/>
  <c r="H78" i="5"/>
  <c r="I78" i="5"/>
  <c r="C78" i="5"/>
  <c r="C55" i="5"/>
  <c r="D55" i="5"/>
  <c r="D54" i="5"/>
  <c r="C54" i="5"/>
  <c r="C52" i="5"/>
  <c r="D52" i="5"/>
  <c r="D51" i="5"/>
  <c r="C51" i="5"/>
  <c r="C48" i="5"/>
  <c r="D43" i="5"/>
  <c r="C43" i="5"/>
  <c r="B43" i="5"/>
  <c r="E43" i="5"/>
  <c r="D42" i="5"/>
  <c r="C42" i="5"/>
  <c r="B42" i="5"/>
  <c r="D40" i="5"/>
  <c r="C40" i="5"/>
  <c r="B40" i="5"/>
  <c r="D39" i="5"/>
  <c r="C39" i="5"/>
  <c r="B39" i="5"/>
  <c r="B49" i="5"/>
  <c r="B82" i="5"/>
  <c r="B78" i="5"/>
  <c r="B55" i="5"/>
  <c r="B54" i="5"/>
  <c r="B52" i="5"/>
  <c r="B51" i="5"/>
  <c r="B48" i="5"/>
  <c r="C44" i="7"/>
  <c r="B44" i="7"/>
  <c r="C33" i="7"/>
  <c r="C45" i="7"/>
  <c r="C19" i="7"/>
  <c r="C46" i="7"/>
  <c r="B33" i="7"/>
  <c r="B45" i="7"/>
  <c r="B19" i="7"/>
  <c r="B46" i="7"/>
  <c r="C29" i="2"/>
  <c r="C30" i="2"/>
  <c r="B29" i="2"/>
  <c r="B30" i="2"/>
  <c r="D29" i="2"/>
  <c r="D30" i="2"/>
  <c r="C17" i="2"/>
  <c r="B17" i="2"/>
  <c r="D17" i="2"/>
  <c r="C14" i="2"/>
  <c r="B14" i="2"/>
  <c r="D14" i="2"/>
  <c r="B18" i="2"/>
  <c r="C18" i="2"/>
  <c r="D18" i="2"/>
  <c r="B43" i="3"/>
  <c r="C43" i="3"/>
  <c r="B32" i="3"/>
  <c r="C32" i="3"/>
  <c r="B18" i="3"/>
  <c r="C18" i="3"/>
  <c r="B32" i="2"/>
  <c r="C31" i="2"/>
  <c r="B34" i="2"/>
  <c r="D32" i="2"/>
  <c r="B31" i="2"/>
  <c r="C32" i="2"/>
  <c r="C34" i="2"/>
  <c r="B43" i="2"/>
  <c r="C44" i="3"/>
  <c r="C45" i="3"/>
  <c r="B44" i="3"/>
  <c r="B45" i="3"/>
  <c r="D31" i="2"/>
  <c r="D34" i="2"/>
  <c r="C36" i="2"/>
  <c r="C43" i="2"/>
  <c r="D43" i="2"/>
  <c r="B36" i="2"/>
  <c r="D36" i="2"/>
  <c r="P105" i="5"/>
  <c r="O105" i="5"/>
  <c r="F77" i="5"/>
  <c r="E42" i="5"/>
  <c r="F42" i="5"/>
  <c r="E104" i="5"/>
  <c r="Q51" i="5"/>
  <c r="F43" i="5"/>
  <c r="C85" i="5"/>
  <c r="B124" i="5"/>
  <c r="E103" i="5"/>
  <c r="Q59" i="5"/>
  <c r="E110" i="5"/>
  <c r="R41" i="5"/>
  <c r="R45" i="5"/>
  <c r="Q105" i="5"/>
  <c r="E122" i="5"/>
  <c r="F122" i="5"/>
  <c r="G122" i="5"/>
  <c r="H122" i="5"/>
  <c r="I122" i="5"/>
  <c r="P59" i="5"/>
  <c r="R46" i="5"/>
  <c r="I15" i="12"/>
  <c r="J13" i="12"/>
  <c r="J15" i="12"/>
  <c r="C59" i="5"/>
  <c r="I81" i="5"/>
  <c r="G36" i="5"/>
  <c r="B85" i="5"/>
  <c r="P39" i="5"/>
  <c r="E102" i="5"/>
  <c r="R84" i="5"/>
  <c r="P27" i="5"/>
  <c r="O84" i="5"/>
  <c r="O89" i="5"/>
  <c r="D59" i="5"/>
  <c r="Q39" i="5"/>
  <c r="R92" i="5"/>
  <c r="D124" i="5"/>
  <c r="H81" i="5"/>
  <c r="F81" i="5"/>
  <c r="D85" i="5"/>
  <c r="C107" i="5"/>
  <c r="O39" i="5"/>
  <c r="P89" i="5"/>
  <c r="G81" i="5"/>
  <c r="B59" i="5"/>
  <c r="B107" i="5"/>
  <c r="C124" i="5"/>
  <c r="E106" i="5"/>
  <c r="F110" i="5"/>
  <c r="D107" i="5"/>
  <c r="B69" i="5"/>
  <c r="B74" i="5"/>
  <c r="E155" i="5"/>
  <c r="C69" i="5"/>
  <c r="C74" i="5"/>
  <c r="H36" i="5"/>
  <c r="I36" i="5"/>
  <c r="F36" i="5"/>
  <c r="D69" i="5"/>
  <c r="U89" i="5"/>
  <c r="Q97" i="5"/>
  <c r="S89" i="5"/>
  <c r="G42" i="5"/>
  <c r="H42" i="5"/>
  <c r="I42" i="5"/>
  <c r="V39" i="5"/>
  <c r="P100" i="5"/>
  <c r="B86" i="5"/>
  <c r="B87" i="5"/>
  <c r="Q98" i="5"/>
  <c r="P90" i="5"/>
  <c r="Q95" i="5"/>
  <c r="R89" i="5"/>
  <c r="E91" i="5"/>
  <c r="O98" i="5"/>
  <c r="P98" i="5"/>
  <c r="O100" i="5"/>
  <c r="Q61" i="5"/>
  <c r="O99" i="5"/>
  <c r="Q63" i="5"/>
  <c r="S92" i="5"/>
  <c r="E118" i="5"/>
  <c r="G77" i="5"/>
  <c r="G43" i="5"/>
  <c r="Q100" i="5"/>
  <c r="F104" i="5"/>
  <c r="D74" i="5"/>
  <c r="D86" i="5"/>
  <c r="D87" i="5"/>
  <c r="P99" i="5"/>
  <c r="Q99" i="5"/>
  <c r="F84" i="5"/>
  <c r="F103" i="5"/>
  <c r="T89" i="5"/>
  <c r="C86" i="5"/>
  <c r="C87" i="5"/>
  <c r="V89" i="5"/>
  <c r="F102" i="5"/>
  <c r="G102" i="5"/>
  <c r="R39" i="5"/>
  <c r="R42" i="5"/>
  <c r="R43" i="5"/>
  <c r="S41" i="5"/>
  <c r="U39" i="5"/>
  <c r="S39" i="5"/>
  <c r="P54" i="5"/>
  <c r="O15" i="5"/>
  <c r="O54" i="5"/>
  <c r="T39" i="5"/>
  <c r="O28" i="5"/>
  <c r="O32" i="5"/>
  <c r="O30" i="5"/>
  <c r="O29" i="5"/>
  <c r="O33" i="5"/>
  <c r="O34" i="5"/>
  <c r="Q87" i="5"/>
  <c r="Q55" i="5"/>
  <c r="Q16" i="5"/>
  <c r="P33" i="5"/>
  <c r="P29" i="5"/>
  <c r="P28" i="5"/>
  <c r="P32" i="5"/>
  <c r="P51" i="5"/>
  <c r="P30" i="5"/>
  <c r="P31" i="5"/>
  <c r="O31" i="5"/>
  <c r="Q30" i="5"/>
  <c r="Q25" i="5"/>
  <c r="Q33" i="5"/>
  <c r="Q29" i="5"/>
  <c r="Q34" i="5"/>
  <c r="Q28" i="5"/>
  <c r="Q32" i="5"/>
  <c r="Q27" i="5"/>
  <c r="Q31" i="5"/>
  <c r="Q54" i="5"/>
  <c r="Q85" i="5"/>
  <c r="G110" i="5"/>
  <c r="O51" i="5"/>
  <c r="P34" i="5"/>
  <c r="Q90" i="5"/>
  <c r="O27" i="5"/>
  <c r="Q50" i="5"/>
  <c r="Q58" i="5"/>
  <c r="Q104" i="5"/>
  <c r="Q24" i="5"/>
  <c r="Q64" i="5"/>
  <c r="R98" i="5"/>
  <c r="S98" i="5"/>
  <c r="D18" i="5"/>
  <c r="E92" i="5"/>
  <c r="Q62" i="5"/>
  <c r="Q101" i="5"/>
  <c r="O18" i="5"/>
  <c r="P25" i="5"/>
  <c r="Q18" i="5"/>
  <c r="P20" i="5"/>
  <c r="H43" i="5"/>
  <c r="I43" i="5"/>
  <c r="R28" i="5"/>
  <c r="S28" i="5"/>
  <c r="T28" i="5"/>
  <c r="Q21" i="5"/>
  <c r="O22" i="5"/>
  <c r="P17" i="5"/>
  <c r="Q15" i="5"/>
  <c r="O21" i="5"/>
  <c r="P19" i="5"/>
  <c r="O16" i="5"/>
  <c r="O25" i="5"/>
  <c r="O58" i="5"/>
  <c r="R100" i="5"/>
  <c r="S100" i="5"/>
  <c r="T100" i="5"/>
  <c r="U100" i="5"/>
  <c r="V100" i="5"/>
  <c r="P16" i="5"/>
  <c r="O50" i="5"/>
  <c r="B18" i="5"/>
  <c r="O20" i="5"/>
  <c r="P21" i="5"/>
  <c r="R21" i="5"/>
  <c r="P18" i="5"/>
  <c r="Q20" i="5"/>
  <c r="Q17" i="5"/>
  <c r="O85" i="5"/>
  <c r="O64" i="5"/>
  <c r="O90" i="5"/>
  <c r="O19" i="5"/>
  <c r="O17" i="5"/>
  <c r="Q19" i="5"/>
  <c r="P55" i="5"/>
  <c r="P15" i="5"/>
  <c r="O24" i="5"/>
  <c r="O55" i="5"/>
  <c r="P50" i="5"/>
  <c r="P64" i="5"/>
  <c r="P62" i="5"/>
  <c r="P104" i="5"/>
  <c r="P97" i="5"/>
  <c r="P101" i="5"/>
  <c r="C18" i="5"/>
  <c r="P58" i="5"/>
  <c r="R51" i="5"/>
  <c r="S51" i="5"/>
  <c r="P22" i="5"/>
  <c r="P24" i="5"/>
  <c r="V24" i="5"/>
  <c r="P85" i="5"/>
  <c r="P87" i="5"/>
  <c r="P61" i="5"/>
  <c r="P95" i="5"/>
  <c r="R27" i="5"/>
  <c r="S27" i="5"/>
  <c r="Q22" i="5"/>
  <c r="P63" i="5"/>
  <c r="R29" i="5"/>
  <c r="S29" i="5"/>
  <c r="R30" i="5"/>
  <c r="G84" i="5"/>
  <c r="G104" i="5"/>
  <c r="H104" i="5"/>
  <c r="O87" i="5"/>
  <c r="O63" i="5"/>
  <c r="O101" i="5"/>
  <c r="O62" i="5"/>
  <c r="O97" i="5"/>
  <c r="O95" i="5"/>
  <c r="O61" i="5"/>
  <c r="T92" i="5"/>
  <c r="F118" i="5"/>
  <c r="R31" i="5"/>
  <c r="S31" i="5"/>
  <c r="R32" i="5"/>
  <c r="S32" i="5"/>
  <c r="G103" i="5"/>
  <c r="H103" i="5"/>
  <c r="H77" i="5"/>
  <c r="R99" i="5"/>
  <c r="S42" i="5"/>
  <c r="S43" i="5"/>
  <c r="T41" i="5"/>
  <c r="T42" i="5"/>
  <c r="T43" i="5"/>
  <c r="U41" i="5"/>
  <c r="S84" i="5"/>
  <c r="S45" i="5"/>
  <c r="S34" i="5"/>
  <c r="V34" i="5"/>
  <c r="U34" i="5"/>
  <c r="T34" i="5"/>
  <c r="R34" i="5"/>
  <c r="E9" i="5"/>
  <c r="T84" i="5"/>
  <c r="H102" i="5"/>
  <c r="T33" i="5"/>
  <c r="R33" i="5"/>
  <c r="U33" i="5"/>
  <c r="S33" i="5"/>
  <c r="V33" i="5"/>
  <c r="E56" i="5"/>
  <c r="E12" i="5"/>
  <c r="H110" i="5"/>
  <c r="D45" i="5"/>
  <c r="R54" i="5"/>
  <c r="G12" i="5"/>
  <c r="G9" i="5"/>
  <c r="I12" i="5"/>
  <c r="B45" i="5"/>
  <c r="B32" i="5"/>
  <c r="E10" i="5"/>
  <c r="E11" i="5"/>
  <c r="G10" i="5"/>
  <c r="E105" i="5"/>
  <c r="E107" i="5"/>
  <c r="D32" i="5"/>
  <c r="S56" i="5"/>
  <c r="G11" i="5"/>
  <c r="F92" i="5"/>
  <c r="I9" i="5"/>
  <c r="I10" i="5"/>
  <c r="U24" i="5"/>
  <c r="H12" i="5"/>
  <c r="H11" i="5"/>
  <c r="I11" i="5"/>
  <c r="H9" i="5"/>
  <c r="H10" i="5"/>
  <c r="E113" i="5"/>
  <c r="O104" i="5"/>
  <c r="R104" i="5"/>
  <c r="S104" i="5"/>
  <c r="R61" i="5"/>
  <c r="S61" i="5"/>
  <c r="R62" i="5"/>
  <c r="E55" i="5"/>
  <c r="S24" i="5"/>
  <c r="P23" i="5"/>
  <c r="R64" i="5"/>
  <c r="E52" i="5"/>
  <c r="R15" i="5"/>
  <c r="E8" i="5"/>
  <c r="R101" i="5"/>
  <c r="E116" i="5"/>
  <c r="G30" i="5"/>
  <c r="R97" i="5"/>
  <c r="S97" i="5"/>
  <c r="Q23" i="5"/>
  <c r="T24" i="5"/>
  <c r="S21" i="5"/>
  <c r="T21" i="5"/>
  <c r="U21" i="5"/>
  <c r="V21" i="5"/>
  <c r="C45" i="5"/>
  <c r="R23" i="5"/>
  <c r="R20" i="5"/>
  <c r="E14" i="5"/>
  <c r="T29" i="5"/>
  <c r="S65" i="5"/>
  <c r="T65" i="5"/>
  <c r="C32" i="5"/>
  <c r="R58" i="5"/>
  <c r="T31" i="5"/>
  <c r="U31" i="5"/>
  <c r="V31" i="5"/>
  <c r="I103" i="5"/>
  <c r="R63" i="5"/>
  <c r="E51" i="5"/>
  <c r="I104" i="5"/>
  <c r="E57" i="5"/>
  <c r="E97" i="5"/>
  <c r="T32" i="5"/>
  <c r="F106" i="5"/>
  <c r="F10" i="5"/>
  <c r="S101" i="5"/>
  <c r="I77" i="5"/>
  <c r="S30" i="5"/>
  <c r="T30" i="5"/>
  <c r="T51" i="5"/>
  <c r="U51" i="5"/>
  <c r="V51" i="5"/>
  <c r="H84" i="5"/>
  <c r="I84" i="5"/>
  <c r="T27" i="5"/>
  <c r="S69" i="5"/>
  <c r="U92" i="5"/>
  <c r="G118" i="5"/>
  <c r="E98" i="5"/>
  <c r="E15" i="5"/>
  <c r="T98" i="5"/>
  <c r="U98" i="5"/>
  <c r="S99" i="5"/>
  <c r="T99" i="5"/>
  <c r="U28" i="5"/>
  <c r="V28" i="5"/>
  <c r="S52" i="5"/>
  <c r="T45" i="5"/>
  <c r="U42" i="5"/>
  <c r="U43" i="5"/>
  <c r="V41" i="5"/>
  <c r="U45" i="5"/>
  <c r="E21" i="5"/>
  <c r="E23" i="5"/>
  <c r="E22" i="5"/>
  <c r="E26" i="5"/>
  <c r="E24" i="5"/>
  <c r="E58" i="5"/>
  <c r="S54" i="5"/>
  <c r="C89" i="5"/>
  <c r="D89" i="5"/>
  <c r="D100" i="5"/>
  <c r="D127" i="5"/>
  <c r="E126" i="5"/>
  <c r="F9" i="5"/>
  <c r="F11" i="5"/>
  <c r="U84" i="5"/>
  <c r="I102" i="5"/>
  <c r="I110" i="5"/>
  <c r="T56" i="5"/>
  <c r="U56" i="5"/>
  <c r="V56" i="5"/>
  <c r="E13" i="5"/>
  <c r="E99" i="5"/>
  <c r="E20" i="5"/>
  <c r="E27" i="5"/>
  <c r="E112" i="5"/>
  <c r="F57" i="5"/>
  <c r="F97" i="5"/>
  <c r="F54" i="5"/>
  <c r="E54" i="5"/>
  <c r="G17" i="5"/>
  <c r="G15" i="5"/>
  <c r="F117" i="5"/>
  <c r="F56" i="5"/>
  <c r="G106" i="5"/>
  <c r="F12" i="5"/>
  <c r="E117" i="5"/>
  <c r="E115" i="5"/>
  <c r="E95" i="5"/>
  <c r="R95" i="5"/>
  <c r="R25" i="5"/>
  <c r="E25" i="5"/>
  <c r="E28" i="5"/>
  <c r="S68" i="5"/>
  <c r="T68" i="5"/>
  <c r="U68" i="5"/>
  <c r="B100" i="5"/>
  <c r="B127" i="5"/>
  <c r="S15" i="5"/>
  <c r="T15" i="5"/>
  <c r="N8" i="5"/>
  <c r="E16" i="5"/>
  <c r="S62" i="5"/>
  <c r="T61" i="5"/>
  <c r="U61" i="5"/>
  <c r="S64" i="5"/>
  <c r="S66" i="5"/>
  <c r="F64" i="5"/>
  <c r="F15" i="5"/>
  <c r="E96" i="5"/>
  <c r="C100" i="5"/>
  <c r="C127" i="5"/>
  <c r="S67" i="5"/>
  <c r="F63" i="5"/>
  <c r="F105" i="5"/>
  <c r="F107" i="5"/>
  <c r="S20" i="5"/>
  <c r="U29" i="5"/>
  <c r="V29" i="5"/>
  <c r="U30" i="5"/>
  <c r="V30" i="5"/>
  <c r="S63" i="5"/>
  <c r="U65" i="5"/>
  <c r="V65" i="5"/>
  <c r="T97" i="5"/>
  <c r="S58" i="5"/>
  <c r="Q102" i="5"/>
  <c r="Q106" i="5"/>
  <c r="Q103" i="5"/>
  <c r="Q107" i="5"/>
  <c r="V92" i="5"/>
  <c r="I118" i="5"/>
  <c r="H118" i="5"/>
  <c r="G92" i="5"/>
  <c r="T101" i="5"/>
  <c r="T69" i="5"/>
  <c r="U69" i="5"/>
  <c r="V69" i="5"/>
  <c r="F116" i="5"/>
  <c r="U27" i="5"/>
  <c r="V27" i="5"/>
  <c r="F115" i="5"/>
  <c r="F112" i="5"/>
  <c r="P103" i="5"/>
  <c r="P106" i="5"/>
  <c r="P107" i="5"/>
  <c r="P102" i="5"/>
  <c r="O103" i="5"/>
  <c r="O106" i="5"/>
  <c r="T52" i="5"/>
  <c r="U52" i="5"/>
  <c r="V52" i="5"/>
  <c r="U32" i="5"/>
  <c r="V32" i="5"/>
  <c r="T104" i="5"/>
  <c r="U104" i="5"/>
  <c r="V104" i="5"/>
  <c r="U99" i="5"/>
  <c r="V99" i="5"/>
  <c r="V98" i="5"/>
  <c r="G63" i="5"/>
  <c r="T54" i="5"/>
  <c r="U54" i="5"/>
  <c r="V54" i="5"/>
  <c r="V45" i="5"/>
  <c r="V42" i="5"/>
  <c r="V43" i="5"/>
  <c r="G56" i="5"/>
  <c r="F26" i="5"/>
  <c r="S25" i="5"/>
  <c r="F23" i="5"/>
  <c r="F22" i="5"/>
  <c r="E32" i="5"/>
  <c r="E45" i="5"/>
  <c r="F17" i="12"/>
  <c r="V84" i="5"/>
  <c r="F8" i="5"/>
  <c r="F73" i="5"/>
  <c r="F69" i="5"/>
  <c r="F24" i="5"/>
  <c r="F25" i="5"/>
  <c r="F70" i="5"/>
  <c r="F98" i="5"/>
  <c r="F58" i="5"/>
  <c r="F27" i="5"/>
  <c r="F20" i="5"/>
  <c r="F21" i="5"/>
  <c r="F113" i="5"/>
  <c r="H106" i="5"/>
  <c r="G29" i="5"/>
  <c r="G113" i="5"/>
  <c r="H17" i="5"/>
  <c r="H61" i="5"/>
  <c r="F13" i="5"/>
  <c r="G8" i="5"/>
  <c r="G13" i="5"/>
  <c r="O107" i="5"/>
  <c r="R107" i="5"/>
  <c r="E109" i="5"/>
  <c r="G117" i="5"/>
  <c r="V68" i="5"/>
  <c r="O102" i="5"/>
  <c r="R102" i="5"/>
  <c r="T66" i="5"/>
  <c r="U66" i="5"/>
  <c r="H64" i="5"/>
  <c r="G61" i="5"/>
  <c r="F45" i="5"/>
  <c r="G17" i="12"/>
  <c r="S86" i="5"/>
  <c r="U97" i="5"/>
  <c r="V97" i="5"/>
  <c r="F61" i="5"/>
  <c r="V61" i="5"/>
  <c r="T62" i="5"/>
  <c r="F55" i="5"/>
  <c r="G54" i="5"/>
  <c r="G105" i="5"/>
  <c r="G107" i="5"/>
  <c r="T64" i="5"/>
  <c r="F52" i="5"/>
  <c r="F65" i="5"/>
  <c r="T67" i="5"/>
  <c r="G65" i="5"/>
  <c r="R103" i="5"/>
  <c r="S103" i="5"/>
  <c r="F14" i="5"/>
  <c r="T20" i="5"/>
  <c r="U20" i="5"/>
  <c r="U101" i="5"/>
  <c r="V101" i="5"/>
  <c r="S70" i="5"/>
  <c r="T70" i="5"/>
  <c r="U70" i="5"/>
  <c r="F51" i="5"/>
  <c r="T63" i="5"/>
  <c r="T58" i="5"/>
  <c r="U58" i="5"/>
  <c r="V58" i="5"/>
  <c r="G31" i="5"/>
  <c r="G33" i="5"/>
  <c r="G70" i="5"/>
  <c r="G98" i="5"/>
  <c r="H54" i="5"/>
  <c r="U15" i="5"/>
  <c r="V15" i="5"/>
  <c r="G116" i="5"/>
  <c r="R106" i="5"/>
  <c r="S71" i="5"/>
  <c r="E89" i="5"/>
  <c r="E120" i="5"/>
  <c r="F95" i="5"/>
  <c r="S95" i="5"/>
  <c r="G58" i="5"/>
  <c r="H29" i="5"/>
  <c r="F28" i="5"/>
  <c r="G22" i="5"/>
  <c r="T25" i="5"/>
  <c r="G26" i="5"/>
  <c r="G20" i="5"/>
  <c r="G73" i="5"/>
  <c r="G57" i="5"/>
  <c r="H15" i="5"/>
  <c r="H92" i="5"/>
  <c r="G69" i="5"/>
  <c r="G95" i="5"/>
  <c r="T95" i="5"/>
  <c r="G24" i="5"/>
  <c r="G45" i="5"/>
  <c r="H17" i="12"/>
  <c r="G27" i="5"/>
  <c r="H56" i="5"/>
  <c r="I106" i="5"/>
  <c r="H63" i="5"/>
  <c r="H105" i="5"/>
  <c r="H107" i="5"/>
  <c r="G112" i="5"/>
  <c r="G25" i="5"/>
  <c r="G21" i="5"/>
  <c r="G23" i="5"/>
  <c r="G28" i="5"/>
  <c r="I17" i="5"/>
  <c r="I63" i="5"/>
  <c r="I105" i="5"/>
  <c r="I107" i="5"/>
  <c r="G115" i="5"/>
  <c r="F99" i="5"/>
  <c r="F33" i="5"/>
  <c r="F32" i="5"/>
  <c r="U67" i="5"/>
  <c r="V67" i="5"/>
  <c r="H117" i="5"/>
  <c r="G64" i="5"/>
  <c r="V66" i="5"/>
  <c r="I64" i="5"/>
  <c r="G55" i="5"/>
  <c r="U62" i="5"/>
  <c r="F96" i="5"/>
  <c r="G52" i="5"/>
  <c r="U64" i="5"/>
  <c r="H65" i="5"/>
  <c r="G99" i="5"/>
  <c r="H116" i="5"/>
  <c r="S107" i="5"/>
  <c r="T107" i="5"/>
  <c r="G109" i="5"/>
  <c r="V20" i="5"/>
  <c r="F16" i="5"/>
  <c r="G14" i="5"/>
  <c r="H8" i="5"/>
  <c r="H13" i="5"/>
  <c r="G51" i="5"/>
  <c r="U63" i="5"/>
  <c r="G35" i="5"/>
  <c r="G120" i="5"/>
  <c r="G91" i="5"/>
  <c r="I116" i="5"/>
  <c r="E40" i="5"/>
  <c r="E39" i="5"/>
  <c r="E111" i="5"/>
  <c r="E114" i="5"/>
  <c r="E119" i="5"/>
  <c r="G32" i="5"/>
  <c r="H31" i="5"/>
  <c r="H32" i="5"/>
  <c r="H112" i="5"/>
  <c r="H70" i="5"/>
  <c r="H98" i="5"/>
  <c r="H115" i="5"/>
  <c r="H113" i="5"/>
  <c r="T71" i="5"/>
  <c r="T103" i="5"/>
  <c r="U103" i="5"/>
  <c r="S106" i="5"/>
  <c r="V70" i="5"/>
  <c r="T86" i="5"/>
  <c r="S102" i="5"/>
  <c r="I65" i="5"/>
  <c r="H33" i="5"/>
  <c r="G97" i="5"/>
  <c r="I29" i="5"/>
  <c r="H27" i="5"/>
  <c r="H21" i="5"/>
  <c r="H25" i="5"/>
  <c r="H20" i="5"/>
  <c r="H24" i="5"/>
  <c r="H26" i="5"/>
  <c r="H23" i="5"/>
  <c r="U25" i="5"/>
  <c r="H22" i="5"/>
  <c r="H69" i="5"/>
  <c r="H73" i="5"/>
  <c r="H57" i="5"/>
  <c r="H58" i="5"/>
  <c r="I15" i="5"/>
  <c r="I61" i="5"/>
  <c r="I54" i="5"/>
  <c r="F91" i="5"/>
  <c r="F35" i="5"/>
  <c r="I56" i="5"/>
  <c r="I117" i="5"/>
  <c r="I92" i="5"/>
  <c r="I8" i="5"/>
  <c r="I13" i="5"/>
  <c r="G96" i="5"/>
  <c r="V62" i="5"/>
  <c r="I55" i="5"/>
  <c r="H55" i="5"/>
  <c r="V64" i="5"/>
  <c r="I52" i="5"/>
  <c r="H52" i="5"/>
  <c r="F109" i="5"/>
  <c r="G89" i="5"/>
  <c r="H14" i="5"/>
  <c r="G16" i="5"/>
  <c r="H99" i="5"/>
  <c r="E124" i="5"/>
  <c r="E135" i="5"/>
  <c r="V103" i="5"/>
  <c r="H45" i="5"/>
  <c r="I17" i="12"/>
  <c r="G37" i="5"/>
  <c r="G79" i="5"/>
  <c r="V63" i="5"/>
  <c r="I51" i="5"/>
  <c r="H51" i="5"/>
  <c r="I31" i="5"/>
  <c r="I32" i="5"/>
  <c r="I115" i="5"/>
  <c r="I112" i="5"/>
  <c r="I113" i="5"/>
  <c r="I70" i="5"/>
  <c r="I98" i="5"/>
  <c r="U71" i="5"/>
  <c r="V71" i="5"/>
  <c r="E86" i="5"/>
  <c r="H35" i="5"/>
  <c r="H120" i="5"/>
  <c r="H91" i="5"/>
  <c r="T106" i="5"/>
  <c r="U106" i="5"/>
  <c r="V106" i="5"/>
  <c r="U86" i="5"/>
  <c r="V86" i="5"/>
  <c r="U107" i="5"/>
  <c r="H109" i="5"/>
  <c r="T102" i="5"/>
  <c r="U102" i="5"/>
  <c r="H95" i="5"/>
  <c r="U95" i="5"/>
  <c r="H28" i="5"/>
  <c r="H97" i="5"/>
  <c r="I23" i="5"/>
  <c r="I26" i="5"/>
  <c r="I22" i="5"/>
  <c r="I21" i="5"/>
  <c r="I20" i="5"/>
  <c r="I25" i="5"/>
  <c r="V25" i="5"/>
  <c r="I24" i="5"/>
  <c r="I27" i="5"/>
  <c r="I57" i="5"/>
  <c r="I97" i="5"/>
  <c r="I69" i="5"/>
  <c r="I73" i="5"/>
  <c r="I58" i="5"/>
  <c r="F120" i="5"/>
  <c r="F89" i="5"/>
  <c r="F37" i="5"/>
  <c r="I95" i="5"/>
  <c r="V95" i="5"/>
  <c r="I96" i="5"/>
  <c r="I33" i="5"/>
  <c r="I91" i="5"/>
  <c r="H96" i="5"/>
  <c r="G71" i="5"/>
  <c r="I14" i="5"/>
  <c r="I16" i="5"/>
  <c r="H16" i="5"/>
  <c r="G72" i="5"/>
  <c r="G40" i="5"/>
  <c r="G39" i="5"/>
  <c r="G119" i="5"/>
  <c r="G114" i="5"/>
  <c r="V107" i="5"/>
  <c r="I109" i="5"/>
  <c r="H37" i="5"/>
  <c r="H71" i="5"/>
  <c r="H89" i="5"/>
  <c r="I99" i="5"/>
  <c r="G111" i="5"/>
  <c r="I45" i="5"/>
  <c r="V102" i="5"/>
  <c r="I28" i="5"/>
  <c r="F40" i="5"/>
  <c r="F114" i="5"/>
  <c r="F79" i="5"/>
  <c r="F71" i="5"/>
  <c r="F119" i="5"/>
  <c r="F111" i="5"/>
  <c r="F124" i="5"/>
  <c r="F135" i="5"/>
  <c r="F82" i="5"/>
  <c r="G82" i="5"/>
  <c r="G85" i="5"/>
  <c r="F39" i="5"/>
  <c r="F72" i="5"/>
  <c r="I35" i="5"/>
  <c r="I120" i="5"/>
  <c r="H72" i="5"/>
  <c r="H74" i="5"/>
  <c r="H40" i="5"/>
  <c r="G74" i="5"/>
  <c r="H114" i="5"/>
  <c r="H119" i="5"/>
  <c r="H79" i="5"/>
  <c r="H39" i="5"/>
  <c r="H82" i="5"/>
  <c r="H111" i="5"/>
  <c r="G124" i="5"/>
  <c r="G135" i="5"/>
  <c r="I89" i="5"/>
  <c r="J24" i="12"/>
  <c r="G29" i="12"/>
  <c r="J17" i="12"/>
  <c r="E29" i="12"/>
  <c r="I29" i="12"/>
  <c r="I30" i="12"/>
  <c r="I39" i="12"/>
  <c r="I42" i="12"/>
  <c r="G41" i="12"/>
  <c r="G42" i="12"/>
  <c r="F85" i="5"/>
  <c r="G86" i="5"/>
  <c r="I37" i="5"/>
  <c r="I40" i="5"/>
  <c r="F74" i="5"/>
  <c r="H124" i="5"/>
  <c r="H135" i="5"/>
  <c r="I82" i="5"/>
  <c r="H85" i="5"/>
  <c r="H86" i="5"/>
  <c r="I71" i="5"/>
  <c r="I39" i="5"/>
  <c r="I72" i="5"/>
  <c r="I79" i="5"/>
  <c r="I85" i="5"/>
  <c r="I114" i="5"/>
  <c r="I111" i="5"/>
  <c r="I119" i="5"/>
  <c r="F86" i="5"/>
  <c r="I74" i="5"/>
  <c r="I86" i="5"/>
  <c r="I124" i="5"/>
  <c r="I135" i="5"/>
  <c r="E159" i="5"/>
  <c r="E44" i="5"/>
  <c r="I159" i="5"/>
  <c r="I44" i="5"/>
  <c r="E161" i="5"/>
  <c r="E90" i="5"/>
  <c r="E100" i="5"/>
  <c r="F159" i="5"/>
  <c r="F44" i="5"/>
  <c r="G159" i="5"/>
  <c r="G44" i="5"/>
  <c r="H159" i="5"/>
  <c r="H44" i="5"/>
  <c r="F155" i="5"/>
  <c r="F161" i="5"/>
  <c r="F90" i="5"/>
  <c r="F100" i="5"/>
  <c r="G155" i="5"/>
  <c r="G161" i="5"/>
  <c r="E127" i="5"/>
  <c r="E134" i="5"/>
  <c r="E48" i="5"/>
  <c r="E125" i="5"/>
  <c r="F126" i="5"/>
  <c r="G90" i="5"/>
  <c r="G100" i="5"/>
  <c r="H155" i="5"/>
  <c r="H161" i="5"/>
  <c r="F134" i="5"/>
  <c r="F127" i="5"/>
  <c r="G134" i="5"/>
  <c r="F48" i="5"/>
  <c r="F125" i="5"/>
  <c r="G126" i="5"/>
  <c r="G127" i="5"/>
  <c r="H90" i="5"/>
  <c r="H100" i="5"/>
  <c r="I155" i="5"/>
  <c r="I161" i="5"/>
  <c r="I90" i="5"/>
  <c r="I100" i="5"/>
  <c r="S46" i="5"/>
  <c r="E59" i="5"/>
  <c r="E87" i="5"/>
  <c r="F133" i="5"/>
  <c r="H126" i="5"/>
  <c r="G48" i="5"/>
  <c r="G125" i="5"/>
  <c r="I134" i="5"/>
  <c r="G133" i="5"/>
  <c r="T46" i="5"/>
  <c r="F59" i="5"/>
  <c r="F87" i="5"/>
  <c r="H127" i="5"/>
  <c r="H134" i="5"/>
  <c r="H133" i="5"/>
  <c r="U46" i="5"/>
  <c r="G59" i="5"/>
  <c r="G87" i="5"/>
  <c r="H125" i="5"/>
  <c r="I126" i="5"/>
  <c r="I127" i="5"/>
  <c r="H48" i="5"/>
  <c r="H59" i="5"/>
  <c r="H87" i="5"/>
  <c r="V46" i="5"/>
  <c r="I133" i="5"/>
  <c r="I48" i="5"/>
  <c r="I59" i="5"/>
  <c r="I87" i="5"/>
  <c r="I12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Jorge Rojas Nader</author>
  </authors>
  <commentList>
    <comment ref="E33" authorId="0" shapeId="0" xr:uid="{00000000-0006-0000-0000-000001000000}">
      <text>
        <r>
          <rPr>
            <b/>
            <sz val="10"/>
            <color rgb="FF000000"/>
            <rFont val="Tahoma"/>
            <family val="2"/>
          </rPr>
          <t>Jorge Rojas Nader:</t>
        </r>
        <r>
          <rPr>
            <sz val="10"/>
            <color rgb="FF000000"/>
            <rFont val="Tahoma"/>
            <family val="2"/>
          </rPr>
          <t xml:space="preserve">
</t>
        </r>
        <r>
          <rPr>
            <sz val="10"/>
            <color rgb="FF000000"/>
            <rFont val="Tahoma"/>
            <family val="2"/>
          </rPr>
          <t xml:space="preserve">Tax hit with net tax law. 5bn. 1/3
</t>
        </r>
        <r>
          <rPr>
            <sz val="10"/>
            <color rgb="FF000000"/>
            <rFont val="Tahoma"/>
            <family val="2"/>
          </rPr>
          <t xml:space="preserve">territorial, 2/3 repatriation One time
</t>
        </r>
      </text>
    </comment>
    <comment ref="B34" authorId="0" shapeId="0" xr:uid="{00000000-0006-0000-0000-000002000000}">
      <text>
        <r>
          <rPr>
            <b/>
            <sz val="10"/>
            <color rgb="FF000000"/>
            <rFont val="Tahoma"/>
            <family val="2"/>
          </rPr>
          <t>Jorge Rojas Nader:</t>
        </r>
        <r>
          <rPr>
            <sz val="10"/>
            <color rgb="FF000000"/>
            <rFont val="Tahoma"/>
            <family val="2"/>
          </rPr>
          <t xml:space="preserve">
</t>
        </r>
        <r>
          <rPr>
            <sz val="10"/>
            <color rgb="FF000000"/>
            <rFont val="Tahoma"/>
            <family val="2"/>
          </rPr>
          <t xml:space="preserve">10-K 2016
</t>
        </r>
      </text>
    </comment>
    <comment ref="F34" authorId="0" shapeId="0" xr:uid="{00000000-0006-0000-0000-000003000000}">
      <text>
        <r>
          <rPr>
            <b/>
            <sz val="10"/>
            <color rgb="FF000000"/>
            <rFont val="Tahoma"/>
            <family val="2"/>
          </rPr>
          <t xml:space="preserve">Jorge Rojas Nader:average </t>
        </r>
        <r>
          <rPr>
            <sz val="10"/>
            <color rgb="FF000000"/>
            <rFont val="Tahoma"/>
            <family val="2"/>
          </rPr>
          <t xml:space="preserve">stimate new effective tax rate  for finance and insurance companies
</t>
        </r>
      </text>
    </comment>
    <comment ref="O55" authorId="0" shapeId="0" xr:uid="{00000000-0006-0000-0000-000004000000}">
      <text>
        <r>
          <rPr>
            <b/>
            <sz val="10"/>
            <color rgb="FF000000"/>
            <rFont val="Tahoma"/>
            <family val="2"/>
          </rPr>
          <t>Jorge Rojas Nader:</t>
        </r>
        <r>
          <rPr>
            <sz val="10"/>
            <color rgb="FF000000"/>
            <rFont val="Tahoma"/>
            <family val="2"/>
          </rPr>
          <t xml:space="preserve">
</t>
        </r>
        <r>
          <rPr>
            <sz val="10"/>
            <color rgb="FF000000"/>
            <rFont val="Tahoma"/>
            <family val="2"/>
          </rPr>
          <t xml:space="preserve">10K page 205
</t>
        </r>
      </text>
    </comment>
    <comment ref="P55" authorId="0" shapeId="0" xr:uid="{00000000-0006-0000-0000-000005000000}">
      <text>
        <r>
          <rPr>
            <b/>
            <sz val="10"/>
            <color rgb="FF000000"/>
            <rFont val="Tahoma"/>
            <family val="2"/>
          </rPr>
          <t>Jorge Rojas Nader:</t>
        </r>
        <r>
          <rPr>
            <sz val="10"/>
            <color rgb="FF000000"/>
            <rFont val="Tahoma"/>
            <family val="2"/>
          </rPr>
          <t xml:space="preserve">
</t>
        </r>
        <r>
          <rPr>
            <sz val="10"/>
            <color rgb="FF000000"/>
            <rFont val="Calibri"/>
            <family val="2"/>
          </rPr>
          <t xml:space="preserve">10K page 205
</t>
        </r>
      </text>
    </comment>
    <comment ref="Q55" authorId="0" shapeId="0" xr:uid="{00000000-0006-0000-0000-000006000000}">
      <text>
        <r>
          <rPr>
            <b/>
            <sz val="10"/>
            <color rgb="FF000000"/>
            <rFont val="Tahoma"/>
            <family val="2"/>
          </rPr>
          <t>Jorge Rojas Nader:</t>
        </r>
        <r>
          <rPr>
            <sz val="10"/>
            <color rgb="FF000000"/>
            <rFont val="Tahoma"/>
            <family val="2"/>
          </rPr>
          <t xml:space="preserve">
</t>
        </r>
        <r>
          <rPr>
            <sz val="10"/>
            <color rgb="FF000000"/>
            <rFont val="Calibri"/>
            <family val="2"/>
          </rPr>
          <t xml:space="preserve">10K page 205
</t>
        </r>
      </text>
    </comment>
    <comment ref="Q68" authorId="0" shapeId="0" xr:uid="{00000000-0006-0000-0000-000007000000}">
      <text>
        <r>
          <rPr>
            <b/>
            <sz val="10"/>
            <color rgb="FF000000"/>
            <rFont val="Tahoma"/>
            <family val="2"/>
          </rPr>
          <t>Jorge Rojas Nader:</t>
        </r>
        <r>
          <rPr>
            <sz val="10"/>
            <color rgb="FF000000"/>
            <rFont val="Tahoma"/>
            <family val="2"/>
          </rPr>
          <t xml:space="preserve">
</t>
        </r>
        <r>
          <rPr>
            <sz val="10"/>
            <color rgb="FF000000"/>
            <rFont val="Tahoma"/>
            <family val="2"/>
          </rPr>
          <t xml:space="preserve">GS acquired GE capital bank with 16.52 bn depotits </t>
        </r>
      </text>
    </comment>
    <comment ref="C82" authorId="0" shapeId="0" xr:uid="{00000000-0006-0000-0000-000008000000}">
      <text>
        <r>
          <rPr>
            <b/>
            <sz val="10"/>
            <color rgb="FF000000"/>
            <rFont val="Tahoma"/>
            <family val="2"/>
          </rPr>
          <t>Jorge Rojas Nader:</t>
        </r>
        <r>
          <rPr>
            <sz val="10"/>
            <color rgb="FF000000"/>
            <rFont val="Tahoma"/>
            <family val="2"/>
          </rPr>
          <t xml:space="preserve">
</t>
        </r>
        <r>
          <rPr>
            <sz val="10"/>
            <color rgb="FF000000"/>
            <rFont val="Tahoma"/>
            <family val="2"/>
          </rPr>
          <t xml:space="preserve">ITS  given number 
</t>
        </r>
        <r>
          <rPr>
            <sz val="10"/>
            <color rgb="FF000000"/>
            <rFont val="Tahoma"/>
            <family val="2"/>
          </rPr>
          <t xml:space="preserve">78984+5568=84552
</t>
        </r>
        <r>
          <rPr>
            <sz val="10"/>
            <color rgb="FF000000"/>
            <rFont val="Tahoma"/>
            <family val="2"/>
          </rPr>
          <t>but has a difference of: 1166</t>
        </r>
      </text>
    </comment>
    <comment ref="D82" authorId="0" shapeId="0" xr:uid="{00000000-0006-0000-0000-000009000000}">
      <text>
        <r>
          <rPr>
            <b/>
            <sz val="10"/>
            <color rgb="FF000000"/>
            <rFont val="Tahoma"/>
            <family val="2"/>
          </rPr>
          <t>Jorge Rojas Nader:</t>
        </r>
        <r>
          <rPr>
            <sz val="10"/>
            <color rgb="FF000000"/>
            <rFont val="Tahoma"/>
            <family val="2"/>
          </rPr>
          <t xml:space="preserve">
</t>
        </r>
        <r>
          <rPr>
            <sz val="10"/>
            <color rgb="FF000000"/>
            <rFont val="Tahoma"/>
            <family val="2"/>
          </rPr>
          <t xml:space="preserve">its a given number 
</t>
        </r>
        <r>
          <rPr>
            <sz val="10"/>
            <color rgb="FF000000"/>
            <rFont val="Tahoma"/>
            <family val="2"/>
          </rPr>
          <t xml:space="preserve">83386+7087=90473
</t>
        </r>
        <r>
          <rPr>
            <sz val="10"/>
            <color rgb="FF000000"/>
            <rFont val="Calibri"/>
            <family val="2"/>
          </rPr>
          <t xml:space="preserve">but has a diference of :
</t>
        </r>
        <r>
          <rPr>
            <sz val="10"/>
            <color rgb="FF000000"/>
            <rFont val="Tahoma"/>
            <family val="2"/>
          </rPr>
          <t>1434?</t>
        </r>
      </text>
    </comment>
  </commentList>
</comments>
</file>

<file path=xl/sharedStrings.xml><?xml version="1.0" encoding="utf-8"?>
<sst xmlns="http://schemas.openxmlformats.org/spreadsheetml/2006/main" count="615" uniqueCount="336">
  <si>
    <t>Diluted</t>
  </si>
  <si>
    <t>Basic</t>
  </si>
  <si>
    <t>Average common shares</t>
  </si>
  <si>
    <t>Earnings per common share</t>
  </si>
  <si>
    <t>Net earnings applicable to common shareholders</t>
  </si>
  <si>
    <t>Preferred stock dividends</t>
  </si>
  <si>
    <t>Net earnings</t>
  </si>
  <si>
    <t>Provision for taxes</t>
  </si>
  <si>
    <t>Total operating expenses</t>
  </si>
  <si>
    <t>Total non-compensation expenses</t>
  </si>
  <si>
    <t>Other expenses</t>
  </si>
  <si>
    <t>Professional fees</t>
  </si>
  <si>
    <t>Occupancy</t>
  </si>
  <si>
    <t>Depreciation and amortization</t>
  </si>
  <si>
    <t>Communications and technology</t>
  </si>
  <si>
    <t>Market development</t>
  </si>
  <si>
    <t>Brokerage, clearing, exchange and distribution fees</t>
  </si>
  <si>
    <t>Compensation and benefits</t>
  </si>
  <si>
    <t>Operating expenses</t>
  </si>
  <si>
    <t>Net revenues, including net interest income</t>
  </si>
  <si>
    <t>Net interest income</t>
  </si>
  <si>
    <t>Interest expense</t>
  </si>
  <si>
    <t>Interest income</t>
  </si>
  <si>
    <t>Total non-interest revenues</t>
  </si>
  <si>
    <t>Other principal transactions</t>
  </si>
  <si>
    <t>Market making</t>
  </si>
  <si>
    <t>Commissions and fees</t>
  </si>
  <si>
    <t>Investment management</t>
  </si>
  <si>
    <t>Investment banking</t>
  </si>
  <si>
    <t>Revenues</t>
  </si>
  <si>
    <t>in millions, except per share amounts</t>
  </si>
  <si>
    <t>Year Ended December</t>
  </si>
  <si>
    <t>Filed On: 2/27/2017</t>
  </si>
  <si>
    <t>Form Type: 10-K</t>
  </si>
  <si>
    <t>Company Name: The Goldman Sachs Group, Inc.</t>
  </si>
  <si>
    <t>Cash and cash equivalents, ending balance</t>
  </si>
  <si>
    <t>Cash and cash equivalents, beginning balance</t>
  </si>
  <si>
    <t>Net increase/(decrease) in cash and cash equivalents</t>
  </si>
  <si>
    <t>Net cash provided by financing activities</t>
  </si>
  <si>
    <t>-</t>
  </si>
  <si>
    <t>Cash settlement of share-based awards</t>
  </si>
  <si>
    <t>Excess tax benefit related to share-based awards</t>
  </si>
  <si>
    <t>Proceeds from issuance of common stock, including exercise of share-based awards</t>
  </si>
  <si>
    <t>Proceeds from issuance of preferred stock, net of issuance costs</t>
  </si>
  <si>
    <t>Dividends and dividend equivalents paid on common stock, preferred stock and share-based awards</t>
  </si>
  <si>
    <t>Common stock repurchased</t>
  </si>
  <si>
    <t>Deposits, net</t>
  </si>
  <si>
    <t>Derivative contracts with a financing element, net</t>
  </si>
  <si>
    <t>Repayment of unsecured long-term borrowings, including the current portion</t>
  </si>
  <si>
    <t>Proceeds from issuance of unsecured long-term borrowings</t>
  </si>
  <si>
    <t>Purchase of APEX, senior guaranteed securities and trust preferred securities</t>
  </si>
  <si>
    <t>Repayment of other secured financings (long-term), including the current portion</t>
  </si>
  <si>
    <t>Proceeds from issuance of other secured financings (long-term)</t>
  </si>
  <si>
    <t>Other secured financings (short-term), net</t>
  </si>
  <si>
    <t>Unsecured short-term borrowings, net</t>
  </si>
  <si>
    <t>Cash flows from financing activities</t>
  </si>
  <si>
    <t>Net cash provided by/(used for) investing activities</t>
  </si>
  <si>
    <t>Loans receivable, net</t>
  </si>
  <si>
    <t>Proceeds from sales of investments</t>
  </si>
  <si>
    <t>Net cash acquired in/(used for) business acquisitions</t>
  </si>
  <si>
    <t>Proceeds from sales of property, leasehold improvements and equipment</t>
  </si>
  <si>
    <t>Purchase of property, leasehold improvements and equipment</t>
  </si>
  <si>
    <t>Cash flows from investing activities</t>
  </si>
  <si>
    <t>Net cash provided by/(used for) operating activities</t>
  </si>
  <si>
    <t>Other, net</t>
  </si>
  <si>
    <t>Financial instruments sold, but not yet purchased, at fair value</t>
  </si>
  <si>
    <t>Financial instruments owned, at fair value</t>
  </si>
  <si>
    <t>Collateralized transactions (excluding other secured financings), net</t>
  </si>
  <si>
    <t>Receivables and payables (excluding loans receivable), net</t>
  </si>
  <si>
    <t>Changes in operating assets and liabilities:</t>
  </si>
  <si>
    <t>Loss/(gain) related to extinguishment of junior subordinated debt</t>
  </si>
  <si>
    <t>Share-based compensation</t>
  </si>
  <si>
    <t>Deferred income taxes</t>
  </si>
  <si>
    <t>Cash flows from operating activities</t>
  </si>
  <si>
    <t>$ in millions</t>
  </si>
  <si>
    <t>Cash Flow</t>
  </si>
  <si>
    <t>Assets</t>
  </si>
  <si>
    <t>Collateralized agreements:</t>
  </si>
  <si>
    <t>Receivables:</t>
  </si>
  <si>
    <t>Liabilities and shareholders' equity</t>
  </si>
  <si>
    <t>Collateralized financings:</t>
  </si>
  <si>
    <t xml:space="preserve">Cash and cash equivalents </t>
  </si>
  <si>
    <t>Brokers, dealers and clearing organizations</t>
  </si>
  <si>
    <t xml:space="preserve">Loans receivable </t>
  </si>
  <si>
    <t>Other assets</t>
  </si>
  <si>
    <t>Payables:</t>
  </si>
  <si>
    <t>Commitments, contingencies and guarantees</t>
  </si>
  <si>
    <t>Shareholders' equity</t>
  </si>
  <si>
    <t xml:space="preserve">Securities sold under agreements to repurchase, at fair value </t>
  </si>
  <si>
    <t xml:space="preserve">Brokers, dealers and clearing organizations </t>
  </si>
  <si>
    <t>Customers and counterparties</t>
  </si>
  <si>
    <t xml:space="preserve">Financial instruments sold, but not yet purchased, at fair value </t>
  </si>
  <si>
    <t xml:space="preserve">Share- based awards </t>
  </si>
  <si>
    <t xml:space="preserve">Additional paid- in capital </t>
  </si>
  <si>
    <t xml:space="preserve">Retained earnings </t>
  </si>
  <si>
    <t xml:space="preserve">Accumulated other comprehensive loss </t>
  </si>
  <si>
    <t>Total shareholders' equity</t>
  </si>
  <si>
    <t>Total liabilities and shareholders' equity</t>
  </si>
  <si>
    <t>Total liabilities</t>
  </si>
  <si>
    <t>Total assets</t>
  </si>
  <si>
    <t>as of december</t>
  </si>
  <si>
    <t>Consolidated Statements of Financial Condition</t>
  </si>
  <si>
    <t>Pre-tax earnings  EBIT</t>
  </si>
  <si>
    <t>EBITDA</t>
  </si>
  <si>
    <t>% of sale</t>
  </si>
  <si>
    <t>% Growth</t>
  </si>
  <si>
    <t>N/A</t>
  </si>
  <si>
    <t>Year ended december</t>
  </si>
  <si>
    <t>Securities purchased under agreements to resell and federal funds sold (includes $116,077 as of December 2016 and $132,853 as of December 2015, at fair value)</t>
  </si>
  <si>
    <t xml:space="preserve">Securities borrowed (includes $82,398 as of December 2016 and $75,340 as of December 2015, at fair value) </t>
  </si>
  <si>
    <t xml:space="preserve">Customers and counterparties (includes $3,266 as of December 2016 and $4,992 as of December 2015, at fair value) </t>
  </si>
  <si>
    <t>Financial instruments owned, at fair value (includes $51,278 as of December 2016 and $54,426 as of December 2015, pledged as collateral)</t>
  </si>
  <si>
    <t>Deposits (includes $13,782 as of December 2016 and $14,680 as of December 2015, at fair value)</t>
  </si>
  <si>
    <t xml:space="preserve">Securities loaned (includes $2,647 as of December 2016 and $466 as of December 2015, at fair value) </t>
  </si>
  <si>
    <t xml:space="preserve">Other secured financings (includes $21,073 as of December 2016 and $23,207 as of December 2015, at fair value) </t>
  </si>
  <si>
    <t xml:space="preserve">Unsecured short- term borrowings, including the current portion of unsecured long- term borrowings (includes $14,792 as of December 2016 and $17,743 as of December 2015, at fair value) </t>
  </si>
  <si>
    <t xml:space="preserve">Other liabilities and accrued expenses (includes $621 as of December 2016 and $1,253 as of December 2015, at fair value) </t>
  </si>
  <si>
    <t xml:space="preserve">Unsecured long- term borrowings (includes $29,410 as of December 2016 and $22,273 as of December 2015, at fair value) </t>
  </si>
  <si>
    <t>Preferred stock, par value $0.01 per share; aggregate liquidation preference of $11,203 as of December 2016 and $11,200 as of 12/1/2015</t>
  </si>
  <si>
    <t>Common stock, par value $0.01 per share; 4,000,000,000 shares authorized, 873,608,100 shares issued as of December 2016 and 863,976,731 shares issued as of December 2015, and 392,632,230 shares outstanding as of December 2016 and outstanding as of December 2015 419,480,736 shares</t>
  </si>
  <si>
    <t>Nonvoting common stock, par value $0.01 per share; 200,000,000 shares authorized, no shares issued and outstanding</t>
  </si>
  <si>
    <t>Stock held in treasury, at cost, par value $0.01 per share; 480,975,872 shares as of December 2016 and 444,495,997 shares as of 12/1/2015</t>
  </si>
  <si>
    <t>check</t>
  </si>
  <si>
    <t>BALANCE SHEET</t>
  </si>
  <si>
    <t>INCOME STATEMENT</t>
  </si>
  <si>
    <t>Filed On: 2014</t>
  </si>
  <si>
    <t>Cash and securities segregated for regulatory and other purposes (includes $34,291 and $31,937 at fair value as of December 2014 and December 2013, respectively)</t>
  </si>
  <si>
    <t>Securities purchased under agreements to resell and federal funds sold (includes $126,036 and $161,297 at fair value as of December 2014 and December 2013, respectively)</t>
  </si>
  <si>
    <t>Securities borrowed (includes $66,769 and $60,384 at fair value as of December 2014 and December 2013, respectively)</t>
  </si>
  <si>
    <t>Customers and counterparties (includes $6,944 and $7,416 at fair value as of December 2014 and December 2013, respectively)</t>
  </si>
  <si>
    <t>Financial instruments owned, at fair value (includes $64,473 and $62,348 pledged as collateral as of December 2014 and December 2013, respectively)</t>
  </si>
  <si>
    <t>Other assets (includes $18 at fair value as of December 2013)</t>
  </si>
  <si>
    <t>Deposits (includes $13,523 and $7,255 at fair value as of December 2014 and December 2013, respectively)</t>
  </si>
  <si>
    <t>Securities loaned (includes $765 and $973 at fair value as of December 2014 and December 2013, respectively)</t>
  </si>
  <si>
    <t>Other secured financings (includes $21,450 and $23,591 at fair value as of December 2014 and December 2013, respectively)</t>
  </si>
  <si>
    <t>Unsecured short- term borrowings, including the current portion of unsecured long- term borrowings (includes $18,826 and $19,067 at fair value as of December 2014 and December 2013, respectively)</t>
  </si>
  <si>
    <t>Unsecured long- term borrowings (includes $16,005 and $11,691 at fair value as of December 2014 and December 2013, respectively)</t>
  </si>
  <si>
    <t>Other liabilities and accrued expenses (includes $831 and $388 at fair value as of December 2014 and December 2013, respectively)</t>
  </si>
  <si>
    <t>Preferred stock, par value $0.01 per share; aggregate liquidation preference of $9,200 and $7,200 as of December 2014 and December 2013, respectively</t>
  </si>
  <si>
    <t>Common stock, par value $0.01 per share; 4,000,000,000 shares authorized, 852,784,764 and 837,219,068 shares issued as of December 2014 and December 2013, respectively, and 430,259,102 and 446,359,012 shares outstanding as of December 2014 and December 2013, respectively</t>
  </si>
  <si>
    <t>Stock held in treasury,at cost, par value $0.01 per share; 422,525,664 and 390,860,058 shares as of December 2014 and December 2013, respectively</t>
  </si>
  <si>
    <t>https://www.sec.gov/Archives/edgar/data/886982/000119312515056785/d840464d10k.htm#tx840464_23</t>
  </si>
  <si>
    <t xml:space="preserve">Tax rate </t>
  </si>
  <si>
    <t>Supporting Schedules</t>
  </si>
  <si>
    <t xml:space="preserve"> 2/27/2017</t>
  </si>
  <si>
    <t>DEBT SCHEDULE</t>
  </si>
  <si>
    <t>Cash Balance @ Beg of Year (End of Last Year)</t>
  </si>
  <si>
    <t>Plus: Free Cash Flow from Operations and Investing</t>
  </si>
  <si>
    <t>Less: Minimum Cash Balance</t>
  </si>
  <si>
    <t>Debt</t>
  </si>
  <si>
    <t>Long Term Debt, Net of Current Maturities</t>
  </si>
  <si>
    <t>Interest Expense</t>
  </si>
  <si>
    <t>Interest Rate on Long Term Debt</t>
  </si>
  <si>
    <t>Interest Expense on Long Term Debt</t>
  </si>
  <si>
    <t>Total Interest Expense</t>
  </si>
  <si>
    <t>PP&amp;E SCHEDULE</t>
  </si>
  <si>
    <t>Beg: PP&amp;E, Net of Accum. Depreciation</t>
  </si>
  <si>
    <t>Plus: Capital Expenditures</t>
  </si>
  <si>
    <t>Less: Depreciation</t>
  </si>
  <si>
    <t>Used To Project</t>
  </si>
  <si>
    <t>Depreciation as % of Revenues</t>
  </si>
  <si>
    <t>End: PP&amp;E, Net of Accum. Depreciation</t>
  </si>
  <si>
    <t>General Assumptions:</t>
  </si>
  <si>
    <t>Company Name:</t>
  </si>
  <si>
    <t>Ticker:</t>
  </si>
  <si>
    <t>Current Share Price:</t>
  </si>
  <si>
    <t>Last Historical Year:</t>
  </si>
  <si>
    <t>Annual Gross Margin Improvement:</t>
  </si>
  <si>
    <t>Effective Tax Rate:</t>
  </si>
  <si>
    <t>Interest Rate on Debt:</t>
  </si>
  <si>
    <t>Interest Rate on Cash:</t>
  </si>
  <si>
    <t>Historical</t>
  </si>
  <si>
    <t>Projected</t>
  </si>
  <si>
    <t>Financial Statement Drivers:</t>
  </si>
  <si>
    <t>Units:</t>
  </si>
  <si>
    <t>Income Statement Drivers:</t>
  </si>
  <si>
    <t>Revenue Growth:</t>
  </si>
  <si>
    <t>%</t>
  </si>
  <si>
    <t>Gross Margin:</t>
  </si>
  <si>
    <t>SG&amp;A % Revenue:</t>
  </si>
  <si>
    <t>Amortization of Intangible Assets:</t>
  </si>
  <si>
    <t>$ M</t>
  </si>
  <si>
    <t>Impairment of Goodwill:</t>
  </si>
  <si>
    <t>Amortization of Debt:</t>
  </si>
  <si>
    <t>Beginning Debt Balance:</t>
  </si>
  <si>
    <t>(-) Amortization:</t>
  </si>
  <si>
    <t>Ending Debt Balance:</t>
  </si>
  <si>
    <t>Interest Expense:</t>
  </si>
  <si>
    <t>Interest Income:</t>
  </si>
  <si>
    <t>Balance Sheet Drivers:</t>
  </si>
  <si>
    <t>Days Sales Outstanding:</t>
  </si>
  <si>
    <t># Days</t>
  </si>
  <si>
    <t>Days Sales of Inventory:</t>
  </si>
  <si>
    <t>Days Payable Outstanding:</t>
  </si>
  <si>
    <t>Other Long-Term Assets % Revenue:</t>
  </si>
  <si>
    <t>Cash Flow Statement Drivers:</t>
  </si>
  <si>
    <t>Capital Expenditures:</t>
  </si>
  <si>
    <t>Depreciation % Revenue:</t>
  </si>
  <si>
    <t>Stock-Based Compensation % Revenue:</t>
  </si>
  <si>
    <t>Deferred Taxes % Taxes:</t>
  </si>
  <si>
    <t>Dividends % Net Income:</t>
  </si>
  <si>
    <t>Stock Repurchases:</t>
  </si>
  <si>
    <t>FX Rate Effects % Revenue:</t>
  </si>
  <si>
    <t>GS</t>
  </si>
  <si>
    <t>weighted average</t>
  </si>
  <si>
    <t>page 168 10K</t>
  </si>
  <si>
    <t>10 K p. 166</t>
  </si>
  <si>
    <t>industry 0.9-1</t>
  </si>
  <si>
    <t xml:space="preserve">$ in millions </t>
  </si>
  <si>
    <t xml:space="preserve">Share-based compensation </t>
  </si>
  <si>
    <t xml:space="preserve">Excess net tax benefit for options exercised </t>
  </si>
  <si>
    <t xml:space="preserve">Excess net tax benefit for other share-based awards </t>
  </si>
  <si>
    <t xml:space="preserve">Note 3 </t>
  </si>
  <si>
    <t xml:space="preserve">capital IQ </t>
  </si>
  <si>
    <t>% of revenue</t>
  </si>
  <si>
    <t>Forecast</t>
  </si>
  <si>
    <t></t>
  </si>
  <si>
    <t xml:space="preserve">effective tax rate </t>
  </si>
  <si>
    <t>http://fingfx.thomsonreuters.com/gfx/editorcharts/USA-TAX-STOCKS/0H0010K907D/index.html</t>
  </si>
  <si>
    <t>Total long-term assets</t>
  </si>
  <si>
    <t>Liquidity products 358 306 283 246 250</t>
  </si>
  <si>
    <t>Selected Financial Data</t>
  </si>
  <si>
    <t>Year Ended or as of December</t>
  </si>
  <si>
    <t xml:space="preserve">under supervision </t>
  </si>
  <si>
    <t>Total assets under supervision</t>
  </si>
  <si>
    <t>total Accounts payable</t>
  </si>
  <si>
    <t xml:space="preserve">Goldman Sachs Group, Inc. </t>
  </si>
  <si>
    <t>Securities borrowed % of revenues</t>
  </si>
  <si>
    <t>Securities sold under agreements to repurchase, at fair value % of revenues</t>
  </si>
  <si>
    <t>Securities loaned % of revenues</t>
  </si>
  <si>
    <t>Other secured financings  % revenues</t>
  </si>
  <si>
    <t>Deposits % of revenues</t>
  </si>
  <si>
    <t>Brokers, dealers and clearing organizations % of revenues</t>
  </si>
  <si>
    <t>Customers and counterparties % of revenues</t>
  </si>
  <si>
    <t>Financial instruments sold, but not yet purchased, at fair value % expenses</t>
  </si>
  <si>
    <t>Prepaid Expenses &amp; Other % Expenses:</t>
  </si>
  <si>
    <t>Accrued Expenses % Expenses:</t>
  </si>
  <si>
    <t>Securities purchased under agreements to resell and federal funds sold % Revenues</t>
  </si>
  <si>
    <t>Accounts receivables % of revenues</t>
  </si>
  <si>
    <t>Inventories % Expenses</t>
  </si>
  <si>
    <t>Other Current Liabilities % expenses:</t>
  </si>
  <si>
    <t>Deposits, net % of revenues</t>
  </si>
  <si>
    <t>Purchase of APEX % expenses</t>
  </si>
  <si>
    <t>Repayment of unsecured % expenses</t>
  </si>
  <si>
    <t>Repayment of other secured financings % expenses</t>
  </si>
  <si>
    <t>Derivative contracts % of revenues</t>
  </si>
  <si>
    <t>Dividends and dividend equivalents % of net income</t>
  </si>
  <si>
    <t>Proceeds from issuance of unsecured long-term borrowings % Net Income</t>
  </si>
  <si>
    <t>Proceeds from issuance of preferred stock % of net earnings</t>
  </si>
  <si>
    <t>Share- based awards % revenues</t>
  </si>
  <si>
    <t>Excess tax benefit % taxes</t>
  </si>
  <si>
    <t>Unsecured short- term borrowings % change</t>
  </si>
  <si>
    <t>Trust Preferred Securities</t>
  </si>
  <si>
    <t>Trust Preferred Securities interest rate</t>
  </si>
  <si>
    <t>Trust Preferred Securities interest expense</t>
  </si>
  <si>
    <t>Proceeds from issuance of other secured financings % net income</t>
  </si>
  <si>
    <t>Unsecured short-term borrowings % of revenues</t>
  </si>
  <si>
    <t>Unsecured long- term borrowings % revenues</t>
  </si>
  <si>
    <t>Unsecured short- term borrowings % revenues</t>
  </si>
  <si>
    <t>Plus: Free Cash Flow from Financing</t>
  </si>
  <si>
    <t>Discounted Cash Flow Analysis</t>
  </si>
  <si>
    <t>CASH FLOW (CF)</t>
  </si>
  <si>
    <t xml:space="preserve">COST OF CAPITAL </t>
  </si>
  <si>
    <t>Cost of Capital</t>
  </si>
  <si>
    <t>PRESENT VALUE OF CASH FLOWS (PV of CF)</t>
  </si>
  <si>
    <t>Discount Factor</t>
  </si>
  <si>
    <t>Present Value of Cash Flows</t>
  </si>
  <si>
    <t>Growth Rate in Perpetuity</t>
  </si>
  <si>
    <t>Terminal Value</t>
  </si>
  <si>
    <t>PV of CF</t>
  </si>
  <si>
    <t>PV of Terminal Value</t>
  </si>
  <si>
    <t>+</t>
  </si>
  <si>
    <t>=</t>
  </si>
  <si>
    <t>TERMINAL VALUE (CASH FLOW OF GS IN PERPETUITY)</t>
  </si>
  <si>
    <t>GS VALUE: PERPETUITY GROWTH RATE METHOD</t>
  </si>
  <si>
    <t xml:space="preserve">inflation rate </t>
  </si>
  <si>
    <t>Beta</t>
  </si>
  <si>
    <t>WACC</t>
  </si>
  <si>
    <t>Additional shares o/s</t>
  </si>
  <si>
    <t>Additional shares (after exercising options)</t>
  </si>
  <si>
    <t>Strike price</t>
  </si>
  <si>
    <t>Average stock price</t>
  </si>
  <si>
    <t>effective  taxrate</t>
  </si>
  <si>
    <t>After new tax code</t>
  </si>
  <si>
    <t>berofe new tax code</t>
  </si>
  <si>
    <t>r(d)</t>
  </si>
  <si>
    <t>r(e)</t>
  </si>
  <si>
    <t>Stock price</t>
  </si>
  <si>
    <t>Outstanding shares</t>
  </si>
  <si>
    <t>D=</t>
  </si>
  <si>
    <t>D+E=V=</t>
  </si>
  <si>
    <t>BBB+/A-2</t>
  </si>
  <si>
    <t xml:space="preserve">Goldman sachs Group Inc.  </t>
  </si>
  <si>
    <t>Debt:</t>
  </si>
  <si>
    <t>total current liabilities</t>
  </si>
  <si>
    <t>long term liabilities</t>
  </si>
  <si>
    <t>total debt</t>
  </si>
  <si>
    <t>E=</t>
  </si>
  <si>
    <t>WACC Calculations for GS</t>
  </si>
  <si>
    <t>Risk Free</t>
  </si>
  <si>
    <t>10 y T-bond</t>
  </si>
  <si>
    <t>GS stock Beta</t>
  </si>
  <si>
    <t>S&amp;P yield</t>
  </si>
  <si>
    <t>CAPM</t>
  </si>
  <si>
    <t>YTD</t>
  </si>
  <si>
    <t>Calculation for CAPM for the r=e</t>
  </si>
  <si>
    <t>interest rates are incresing</t>
  </si>
  <si>
    <t>fix income below average sells, interest rates increasing</t>
  </si>
  <si>
    <t>TREASURY STOCK METHOD</t>
  </si>
  <si>
    <t xml:space="preserve">10K </t>
  </si>
  <si>
    <t>new tax code</t>
  </si>
  <si>
    <t>Current share price</t>
  </si>
  <si>
    <t>M&amp;A and mergers down</t>
  </si>
  <si>
    <t>short term debt</t>
  </si>
  <si>
    <t>long term debt</t>
  </si>
  <si>
    <t>cash and marketable securities</t>
  </si>
  <si>
    <t>equity value</t>
  </si>
  <si>
    <t>stimated share price</t>
  </si>
  <si>
    <t>current preferred and minority interest</t>
  </si>
  <si>
    <t>estimated shares outstandings</t>
  </si>
  <si>
    <t>estimated value per share</t>
  </si>
  <si>
    <t>EBITDA Multiple</t>
  </si>
  <si>
    <t>Depreciation and Amortization</t>
  </si>
  <si>
    <t>discount</t>
  </si>
  <si>
    <t>% revenue</t>
  </si>
  <si>
    <t>units</t>
  </si>
  <si>
    <t>PV of the company today</t>
  </si>
  <si>
    <t>*</t>
  </si>
  <si>
    <t xml:space="preserve">* in order to balance, I used the " Accumulated other comprehensive loss" account as they have use it in the previous years. </t>
  </si>
  <si>
    <t>EBIT</t>
  </si>
  <si>
    <t>enterprice value</t>
  </si>
  <si>
    <t>reason:</t>
  </si>
  <si>
    <t>fees are being pressure in the market industry.</t>
  </si>
  <si>
    <t>Pressured by clients moving from manage accounts to unmanageaccounts</t>
  </si>
  <si>
    <t>amortization of intangibles</t>
  </si>
  <si>
    <t>short term barrowing rate 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</si>
</sst>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 #,##0.0_);_(\ \(#,##0.0\)_);_(\ &quot; - &quot;_)"/>
    <numFmt numFmtId="165" formatCode="_(&quot;$&quot;#,##0.00_);_(\(&quot;$&quot;#,##0.00\)_);_(&quot;$&quot;&quot; - &quot;_)"/>
    <numFmt numFmtId="166" formatCode="_(\ #,##0_);_(\ \(#,##0\)_);_(\ &quot; - &quot;_)"/>
    <numFmt numFmtId="167" formatCode="yyyy\-mm\-dd"/>
    <numFmt numFmtId="168" formatCode="_(#,##0.00%_);\(#,##0.00%\);_(&quot;–&quot;_)_%;_(@_)_%"/>
    <numFmt numFmtId="169" formatCode="0.0%;\(0.0%\)"/>
    <numFmt numFmtId="170" formatCode="_(#,##0.0%_);\(#,##0.0%\);_(&quot;–&quot;_)_%;_(@_)_%"/>
    <numFmt numFmtId="171" formatCode="0.0%"/>
    <numFmt numFmtId="172" formatCode="_(&quot;$&quot;* #,##0.0_);_(&quot;$&quot;* \(#,##0.0\);_(&quot;$&quot;* &quot;-&quot;?_);_(@_)"/>
    <numFmt numFmtId="173" formatCode="_(* #,##0.0_);_(* \(#,##0.0\);_(* &quot;-&quot;?_);_(@_)"/>
    <numFmt numFmtId="174" formatCode="#,##0.0_);\(#,##0.0\)"/>
    <numFmt numFmtId="175" formatCode="_(* #,##0.000_);_(* \(#,##0.000\);_(* &quot;-&quot;?_);_(@_)"/>
    <numFmt numFmtId="176" formatCode="0.0_);\(0.0\)"/>
    <numFmt numFmtId="177" formatCode="&quot;Year &quot;0"/>
    <numFmt numFmtId="178" formatCode="#,##0.0"/>
  </numFmts>
  <fonts count="32" x14ac:knownFonts="1">
    <font>
      <sz val="12"/>
      <color theme="1"/>
      <name val="Calibri"/>
      <family val="2"/>
      <scheme val="minor"/>
    </font>
    <font>
      <sz val="12"/>
      <color theme="1"/>
      <name val="Calibri"/>
      <family val="2"/>
      <scheme val="minor"/>
    </font>
    <font>
      <sz val="10"/>
      <name val="Arial"/>
      <family val="2"/>
    </font>
    <font>
      <b/>
      <sz val="8"/>
      <color theme="1"/>
      <name val="Arial"/>
      <family val="2"/>
    </font>
    <font>
      <sz val="8"/>
      <color theme="1"/>
      <name val="Arial"/>
      <family val="2"/>
    </font>
    <font>
      <b/>
      <sz val="13"/>
      <color theme="1"/>
      <name val="Verdana"/>
      <family val="2"/>
    </font>
    <font>
      <sz val="10"/>
      <name val="Arial"/>
      <family val="2"/>
    </font>
    <font>
      <sz val="12"/>
      <color theme="1"/>
      <name val="Calibri"/>
      <family val="2"/>
      <scheme val="minor"/>
    </font>
    <font>
      <b/>
      <sz val="12"/>
      <color theme="1"/>
      <name val="Arial"/>
      <family val="2"/>
    </font>
    <font>
      <b/>
      <sz val="12"/>
      <color theme="0"/>
      <name val="Arial"/>
      <family val="2"/>
    </font>
    <font>
      <sz val="12"/>
      <color theme="1"/>
      <name val="Arial"/>
      <family val="2"/>
    </font>
    <font>
      <sz val="12"/>
      <color theme="0"/>
      <name val="Arial"/>
      <family val="2"/>
    </font>
    <font>
      <sz val="12"/>
      <color rgb="FF0070C0"/>
      <name val="Arial"/>
      <family val="2"/>
    </font>
    <font>
      <b/>
      <sz val="12"/>
      <color theme="0"/>
      <name val="Verdana"/>
      <family val="2"/>
    </font>
    <font>
      <b/>
      <sz val="12"/>
      <color rgb="FF0070C0"/>
      <name val="Arial"/>
      <family val="2"/>
    </font>
    <font>
      <u/>
      <sz val="12"/>
      <color theme="10"/>
      <name val="Calibri"/>
      <family val="2"/>
      <scheme val="minor"/>
    </font>
    <font>
      <sz val="10"/>
      <color rgb="FF000000"/>
      <name val="Tahoma"/>
      <family val="2"/>
    </font>
    <font>
      <b/>
      <sz val="10"/>
      <color rgb="FF000000"/>
      <name val="Tahoma"/>
      <family val="2"/>
    </font>
    <font>
      <sz val="10"/>
      <color rgb="FF000000"/>
      <name val="Calibri"/>
      <family val="2"/>
    </font>
    <font>
      <b/>
      <sz val="12"/>
      <color rgb="FFFFFFFF"/>
      <name val="Arial"/>
      <family val="2"/>
    </font>
    <font>
      <sz val="12"/>
      <color rgb="FFFFFFFF"/>
      <name val="Arial"/>
      <family val="2"/>
    </font>
    <font>
      <i/>
      <sz val="12"/>
      <color rgb="FFFFFFFF"/>
      <name val="Arial"/>
      <family val="2"/>
    </font>
    <font>
      <sz val="12"/>
      <color rgb="FF0000FF"/>
      <name val="Arial"/>
      <family val="2"/>
    </font>
    <font>
      <sz val="12"/>
      <name val="Arial"/>
      <family val="2"/>
    </font>
    <font>
      <b/>
      <i/>
      <sz val="12"/>
      <color rgb="FFFFFFFF"/>
      <name val="Arial"/>
      <family val="2"/>
    </font>
    <font>
      <i/>
      <sz val="12"/>
      <color theme="1"/>
      <name val="Arial"/>
      <family val="2"/>
    </font>
    <font>
      <sz val="12"/>
      <color theme="4"/>
      <name val="Arial"/>
      <family val="2"/>
    </font>
    <font>
      <b/>
      <sz val="12"/>
      <color theme="4"/>
      <name val="Arial"/>
      <family val="2"/>
    </font>
    <font>
      <sz val="12"/>
      <color rgb="FF3333CC"/>
      <name val="Arial"/>
      <family val="2"/>
    </font>
    <font>
      <b/>
      <sz val="12"/>
      <color rgb="FF3333CC"/>
      <name val="Arial"/>
      <family val="2"/>
    </font>
    <font>
      <b/>
      <sz val="12"/>
      <color theme="5"/>
      <name val="Arial"/>
      <family val="2"/>
    </font>
    <font>
      <sz val="12"/>
      <color theme="5"/>
      <name val="Arial"/>
      <family val="2"/>
    </font>
  </fonts>
  <fills count="13">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0070C0"/>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FFCC"/>
      </patternFill>
    </fill>
    <fill>
      <patternFill patternType="solid">
        <fgColor theme="4" tint="-0.49998474074526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249977111117893"/>
        <bgColor indexed="64"/>
      </patternFill>
    </fill>
  </fills>
  <borders count="21">
    <border>
      <left/>
      <right/>
      <top/>
      <bottom/>
      <diagonal/>
    </border>
    <border>
      <left/>
      <right/>
      <top/>
      <bottom style="medium">
        <color indexed="8"/>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indexed="8"/>
      </top>
      <bottom style="thin">
        <color auto="1"/>
      </bottom>
      <diagonal/>
    </border>
    <border>
      <left/>
      <right/>
      <top/>
      <bottom style="thin">
        <color auto="1"/>
      </bottom>
      <diagonal/>
    </border>
    <border>
      <left/>
      <right/>
      <top style="thin">
        <color auto="1"/>
      </top>
      <bottom style="medium">
        <color auto="1"/>
      </bottom>
      <diagonal/>
    </border>
    <border>
      <left/>
      <right/>
      <top style="thin">
        <color auto="1"/>
      </top>
      <bottom style="double">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right/>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rgb="FFB2B2B2"/>
      </left>
      <right style="thin">
        <color rgb="FFB2B2B2"/>
      </right>
      <top/>
      <bottom style="thin">
        <color rgb="FFB2B2B2"/>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2" fillId="0" borderId="0"/>
    <xf numFmtId="0" fontId="6" fillId="0" borderId="0"/>
    <xf numFmtId="0" fontId="15" fillId="0" borderId="0" applyNumberFormat="0" applyFill="0" applyBorder="0" applyAlignment="0" applyProtection="0"/>
    <xf numFmtId="0" fontId="1" fillId="8" borderId="11"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cellStyleXfs>
  <cellXfs count="280">
    <xf numFmtId="0" fontId="0" fillId="0" borderId="0" xfId="0"/>
    <xf numFmtId="0" fontId="3" fillId="0" borderId="0" xfId="1" applyFont="1" applyFill="1" applyAlignment="1"/>
    <xf numFmtId="0" fontId="4" fillId="0" borderId="0" xfId="1" applyFont="1" applyFill="1"/>
    <xf numFmtId="0" fontId="4" fillId="0" borderId="0" xfId="1" applyFont="1" applyFill="1" applyAlignment="1">
      <alignment horizontal="left"/>
    </xf>
    <xf numFmtId="0" fontId="4" fillId="0" borderId="1" xfId="1" applyFont="1" applyFill="1" applyBorder="1" applyAlignment="1">
      <alignment horizontal="left"/>
    </xf>
    <xf numFmtId="0" fontId="3" fillId="0" borderId="1" xfId="1" applyNumberFormat="1" applyFont="1" applyFill="1" applyBorder="1" applyAlignment="1">
      <alignment horizontal="left"/>
    </xf>
    <xf numFmtId="166" fontId="3" fillId="0" borderId="1" xfId="1" applyNumberFormat="1" applyFont="1" applyFill="1" applyBorder="1" applyAlignment="1">
      <alignment horizontal="right"/>
    </xf>
    <xf numFmtId="166" fontId="4" fillId="0" borderId="1" xfId="1" applyNumberFormat="1" applyFont="1" applyFill="1" applyBorder="1" applyAlignment="1">
      <alignment horizontal="right"/>
    </xf>
    <xf numFmtId="165" fontId="3" fillId="0" borderId="0" xfId="1" applyNumberFormat="1" applyFont="1" applyFill="1" applyAlignment="1">
      <alignment horizontal="right"/>
    </xf>
    <xf numFmtId="165" fontId="4" fillId="0" borderId="0" xfId="1" applyNumberFormat="1" applyFont="1" applyFill="1" applyAlignment="1">
      <alignment horizontal="right"/>
    </xf>
    <xf numFmtId="166" fontId="3" fillId="0" borderId="0" xfId="1" applyNumberFormat="1" applyFont="1" applyFill="1" applyAlignment="1">
      <alignment horizontal="right"/>
    </xf>
    <xf numFmtId="166" fontId="4" fillId="0" borderId="0" xfId="1" applyNumberFormat="1" applyFont="1" applyFill="1" applyAlignment="1">
      <alignment horizontal="right"/>
    </xf>
    <xf numFmtId="0" fontId="4" fillId="0" borderId="0" xfId="1" applyFont="1" applyFill="1" applyAlignment="1">
      <alignment horizontal="left" wrapText="1"/>
    </xf>
    <xf numFmtId="165" fontId="3" fillId="0" borderId="1" xfId="1" applyNumberFormat="1" applyFont="1" applyFill="1" applyBorder="1" applyAlignment="1">
      <alignment horizontal="right"/>
    </xf>
    <xf numFmtId="165" fontId="4" fillId="0" borderId="1" xfId="1" applyNumberFormat="1" applyFont="1" applyFill="1" applyBorder="1" applyAlignment="1">
      <alignment horizontal="right"/>
    </xf>
    <xf numFmtId="0" fontId="4" fillId="0" borderId="1" xfId="1" applyNumberFormat="1" applyFont="1" applyFill="1" applyBorder="1" applyAlignment="1">
      <alignment horizontal="left"/>
    </xf>
    <xf numFmtId="0" fontId="3" fillId="0" borderId="1" xfId="1" applyNumberFormat="1" applyFont="1" applyFill="1" applyBorder="1" applyAlignment="1">
      <alignment horizontal="right"/>
    </xf>
    <xf numFmtId="0" fontId="3" fillId="2" borderId="0" xfId="1" applyNumberFormat="1" applyFont="1" applyFill="1" applyAlignment="1">
      <alignment horizontal="left"/>
    </xf>
    <xf numFmtId="0" fontId="4" fillId="2" borderId="0" xfId="1" applyFont="1" applyFill="1" applyAlignment="1">
      <alignment horizontal="left"/>
    </xf>
    <xf numFmtId="0" fontId="4" fillId="0" borderId="0" xfId="1" applyFont="1" applyFill="1" applyBorder="1" applyAlignment="1">
      <alignment horizontal="left"/>
    </xf>
    <xf numFmtId="0" fontId="5" fillId="0" borderId="0" xfId="1" applyNumberFormat="1" applyFont="1" applyFill="1" applyAlignment="1"/>
    <xf numFmtId="0" fontId="4" fillId="0" borderId="0" xfId="1" applyFont="1" applyFill="1" applyAlignment="1"/>
    <xf numFmtId="0" fontId="4" fillId="0" borderId="0" xfId="1" applyFont="1" applyFill="1" applyBorder="1" applyAlignment="1"/>
    <xf numFmtId="0" fontId="8" fillId="0" borderId="0" xfId="1" applyFont="1" applyFill="1" applyAlignment="1"/>
    <xf numFmtId="0" fontId="7" fillId="0" borderId="0" xfId="0" applyFont="1"/>
    <xf numFmtId="0" fontId="10" fillId="0" borderId="0" xfId="0" applyFont="1"/>
    <xf numFmtId="0" fontId="8" fillId="2" borderId="0" xfId="0" applyFont="1" applyFill="1"/>
    <xf numFmtId="0" fontId="10" fillId="2" borderId="0" xfId="0" applyFont="1" applyFill="1"/>
    <xf numFmtId="0" fontId="8" fillId="2" borderId="2" xfId="0" applyFont="1" applyFill="1" applyBorder="1"/>
    <xf numFmtId="3" fontId="8" fillId="2" borderId="2" xfId="0" applyNumberFormat="1" applyFont="1" applyFill="1" applyBorder="1"/>
    <xf numFmtId="0" fontId="10" fillId="0" borderId="0" xfId="0" applyFont="1" applyFill="1"/>
    <xf numFmtId="6" fontId="8" fillId="2" borderId="2" xfId="0" applyNumberFormat="1" applyFont="1" applyFill="1" applyBorder="1"/>
    <xf numFmtId="6" fontId="8" fillId="2" borderId="0" xfId="0" applyNumberFormat="1" applyFont="1" applyFill="1"/>
    <xf numFmtId="6" fontId="10" fillId="0" borderId="0" xfId="0" applyNumberFormat="1" applyFont="1"/>
    <xf numFmtId="0" fontId="10" fillId="0" borderId="0" xfId="1" applyFont="1" applyFill="1"/>
    <xf numFmtId="0" fontId="10" fillId="0" borderId="0" xfId="1" applyFont="1" applyFill="1" applyAlignment="1">
      <alignment horizontal="left"/>
    </xf>
    <xf numFmtId="0" fontId="10" fillId="0" borderId="0" xfId="1" applyFont="1" applyFill="1" applyBorder="1" applyAlignment="1">
      <alignment horizontal="left"/>
    </xf>
    <xf numFmtId="0" fontId="10" fillId="0" borderId="0" xfId="1" applyFont="1" applyFill="1" applyBorder="1" applyAlignment="1"/>
    <xf numFmtId="0" fontId="10" fillId="0" borderId="1" xfId="1" applyFont="1" applyFill="1" applyBorder="1" applyAlignment="1">
      <alignment horizontal="left"/>
    </xf>
    <xf numFmtId="0" fontId="13" fillId="4" borderId="3" xfId="1" applyNumberFormat="1" applyFont="1" applyFill="1" applyBorder="1" applyAlignment="1"/>
    <xf numFmtId="166" fontId="11" fillId="4" borderId="4" xfId="1" applyNumberFormat="1" applyFont="1" applyFill="1" applyBorder="1" applyAlignment="1">
      <alignment horizontal="right"/>
    </xf>
    <xf numFmtId="166" fontId="9" fillId="4" borderId="5" xfId="1" applyNumberFormat="1" applyFont="1" applyFill="1" applyBorder="1" applyAlignment="1">
      <alignment horizontal="right"/>
    </xf>
    <xf numFmtId="0" fontId="8" fillId="2" borderId="0" xfId="1" applyNumberFormat="1" applyFont="1" applyFill="1" applyAlignment="1">
      <alignment horizontal="left"/>
    </xf>
    <xf numFmtId="0" fontId="10" fillId="2" borderId="0" xfId="1" applyFont="1" applyFill="1" applyAlignment="1">
      <alignment horizontal="left"/>
    </xf>
    <xf numFmtId="0" fontId="8" fillId="0" borderId="0" xfId="1" applyNumberFormat="1" applyFont="1" applyFill="1" applyAlignment="1">
      <alignment horizontal="left"/>
    </xf>
    <xf numFmtId="165" fontId="10" fillId="0" borderId="0" xfId="1" applyNumberFormat="1" applyFont="1" applyFill="1" applyAlignment="1">
      <alignment horizontal="right"/>
    </xf>
    <xf numFmtId="165" fontId="8" fillId="0" borderId="0" xfId="1" applyNumberFormat="1" applyFont="1" applyFill="1" applyAlignment="1">
      <alignment horizontal="right"/>
    </xf>
    <xf numFmtId="166" fontId="10"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1" xfId="1" applyNumberFormat="1" applyFont="1" applyFill="1" applyBorder="1" applyAlignment="1">
      <alignment horizontal="right"/>
    </xf>
    <xf numFmtId="166" fontId="8" fillId="0" borderId="1" xfId="1" applyNumberFormat="1" applyFont="1" applyFill="1" applyBorder="1" applyAlignment="1">
      <alignment horizontal="right"/>
    </xf>
    <xf numFmtId="10" fontId="10" fillId="0" borderId="0" xfId="1" applyNumberFormat="1" applyFont="1" applyFill="1" applyBorder="1" applyAlignment="1">
      <alignment horizontal="right"/>
    </xf>
    <xf numFmtId="0" fontId="10" fillId="0" borderId="0" xfId="1" applyFont="1" applyFill="1" applyAlignment="1">
      <alignment horizontal="left" wrapText="1"/>
    </xf>
    <xf numFmtId="9" fontId="12" fillId="0" borderId="0" xfId="1" applyNumberFormat="1" applyFont="1" applyFill="1" applyBorder="1" applyAlignment="1">
      <alignment horizontal="right"/>
    </xf>
    <xf numFmtId="0" fontId="8" fillId="0" borderId="1" xfId="1" applyNumberFormat="1" applyFont="1" applyFill="1" applyBorder="1" applyAlignment="1">
      <alignment horizontal="left" wrapText="1"/>
    </xf>
    <xf numFmtId="165" fontId="8" fillId="0" borderId="1" xfId="1" applyNumberFormat="1" applyFont="1" applyFill="1" applyBorder="1" applyAlignment="1">
      <alignment horizontal="right"/>
    </xf>
    <xf numFmtId="164" fontId="10" fillId="0" borderId="0" xfId="1" applyNumberFormat="1" applyFont="1" applyFill="1" applyAlignment="1">
      <alignment horizontal="right"/>
    </xf>
    <xf numFmtId="164" fontId="8" fillId="0" borderId="0" xfId="1" applyNumberFormat="1" applyFont="1" applyFill="1" applyAlignment="1">
      <alignment horizontal="right"/>
    </xf>
    <xf numFmtId="164" fontId="10" fillId="0" borderId="1" xfId="1" applyNumberFormat="1" applyFont="1" applyFill="1" applyBorder="1" applyAlignment="1">
      <alignment horizontal="right"/>
    </xf>
    <xf numFmtId="164" fontId="8" fillId="0" borderId="1" xfId="1" applyNumberFormat="1" applyFont="1" applyFill="1" applyBorder="1" applyAlignment="1">
      <alignment horizontal="right"/>
    </xf>
    <xf numFmtId="0" fontId="8" fillId="3" borderId="0" xfId="1" applyFont="1" applyFill="1"/>
    <xf numFmtId="166" fontId="8" fillId="3" borderId="0" xfId="1" applyNumberFormat="1" applyFont="1" applyFill="1"/>
    <xf numFmtId="0" fontId="9" fillId="4" borderId="3" xfId="1" applyFont="1" applyFill="1" applyBorder="1" applyAlignment="1"/>
    <xf numFmtId="0" fontId="11" fillId="4" borderId="4" xfId="0" applyFont="1" applyFill="1" applyBorder="1"/>
    <xf numFmtId="0" fontId="11" fillId="4" borderId="5" xfId="0" applyFont="1" applyFill="1" applyBorder="1"/>
    <xf numFmtId="166" fontId="10" fillId="0" borderId="0" xfId="1" applyNumberFormat="1" applyFont="1" applyFill="1" applyBorder="1" applyAlignment="1">
      <alignment horizontal="right"/>
    </xf>
    <xf numFmtId="0" fontId="10" fillId="0" borderId="6" xfId="1" applyFont="1" applyFill="1" applyBorder="1" applyAlignment="1">
      <alignment horizontal="left"/>
    </xf>
    <xf numFmtId="166" fontId="8" fillId="0" borderId="6" xfId="1" applyNumberFormat="1" applyFont="1" applyFill="1" applyBorder="1" applyAlignment="1">
      <alignment horizontal="right"/>
    </xf>
    <xf numFmtId="0" fontId="15" fillId="0" borderId="0" xfId="3"/>
    <xf numFmtId="166" fontId="12" fillId="5" borderId="1" xfId="1" applyNumberFormat="1" applyFont="1" applyFill="1" applyBorder="1" applyAlignment="1">
      <alignment horizontal="right"/>
    </xf>
    <xf numFmtId="166" fontId="14" fillId="5" borderId="1" xfId="1" applyNumberFormat="1" applyFont="1" applyFill="1" applyBorder="1" applyAlignment="1">
      <alignment horizontal="right"/>
    </xf>
    <xf numFmtId="166" fontId="12" fillId="5" borderId="0" xfId="1" applyNumberFormat="1" applyFont="1" applyFill="1" applyAlignment="1">
      <alignment horizontal="right"/>
    </xf>
    <xf numFmtId="6" fontId="12" fillId="5" borderId="0" xfId="0" applyNumberFormat="1" applyFont="1" applyFill="1"/>
    <xf numFmtId="3" fontId="12" fillId="5" borderId="0" xfId="0" applyNumberFormat="1" applyFont="1" applyFill="1"/>
    <xf numFmtId="0" fontId="10" fillId="5" borderId="0" xfId="0" applyFont="1" applyFill="1"/>
    <xf numFmtId="0" fontId="12" fillId="5" borderId="0" xfId="0" applyFont="1" applyFill="1"/>
    <xf numFmtId="0" fontId="10" fillId="0" borderId="7" xfId="1" applyFont="1" applyFill="1" applyBorder="1" applyAlignment="1">
      <alignment horizontal="left"/>
    </xf>
    <xf numFmtId="166" fontId="10" fillId="0" borderId="7" xfId="1" applyNumberFormat="1" applyFont="1" applyFill="1" applyBorder="1" applyAlignment="1">
      <alignment horizontal="right"/>
    </xf>
    <xf numFmtId="0" fontId="4" fillId="0" borderId="0" xfId="1" applyFont="1" applyFill="1" applyBorder="1"/>
    <xf numFmtId="3" fontId="10" fillId="0" borderId="0" xfId="0" applyNumberFormat="1" applyFont="1"/>
    <xf numFmtId="0" fontId="10" fillId="0" borderId="8" xfId="0" applyFont="1" applyBorder="1"/>
    <xf numFmtId="0" fontId="10" fillId="0" borderId="0" xfId="0" applyFont="1" applyBorder="1"/>
    <xf numFmtId="3" fontId="10" fillId="0" borderId="0" xfId="0" applyNumberFormat="1" applyFont="1" applyBorder="1"/>
    <xf numFmtId="6" fontId="10" fillId="0" borderId="0" xfId="0" applyNumberFormat="1" applyFont="1" applyBorder="1"/>
    <xf numFmtId="0" fontId="0" fillId="0" borderId="0" xfId="0" applyBorder="1"/>
    <xf numFmtId="0" fontId="10" fillId="0" borderId="17" xfId="0" applyFont="1" applyBorder="1"/>
    <xf numFmtId="0" fontId="10" fillId="0" borderId="17" xfId="0" applyFont="1" applyBorder="1" applyAlignment="1"/>
    <xf numFmtId="0" fontId="9" fillId="4" borderId="3" xfId="1" applyNumberFormat="1" applyFont="1" applyFill="1" applyBorder="1" applyAlignment="1"/>
    <xf numFmtId="0" fontId="11" fillId="4" borderId="4" xfId="1" applyNumberFormat="1" applyFont="1" applyFill="1" applyBorder="1" applyAlignment="1">
      <alignment horizontal="right"/>
    </xf>
    <xf numFmtId="0" fontId="9" fillId="4" borderId="5" xfId="1" applyNumberFormat="1" applyFont="1" applyFill="1" applyBorder="1" applyAlignment="1">
      <alignment horizontal="right"/>
    </xf>
    <xf numFmtId="0" fontId="19" fillId="9" borderId="7" xfId="0" applyFont="1" applyFill="1" applyBorder="1"/>
    <xf numFmtId="0" fontId="20" fillId="9" borderId="7" xfId="0" applyFont="1" applyFill="1" applyBorder="1"/>
    <xf numFmtId="0" fontId="21" fillId="9" borderId="7" xfId="0" applyFont="1" applyFill="1" applyBorder="1"/>
    <xf numFmtId="0" fontId="20" fillId="9" borderId="7" xfId="0" applyFont="1" applyFill="1" applyBorder="1" applyAlignment="1"/>
    <xf numFmtId="165" fontId="10" fillId="7" borderId="0" xfId="1" applyNumberFormat="1" applyFont="1" applyFill="1" applyAlignment="1">
      <alignment horizontal="right"/>
    </xf>
    <xf numFmtId="0" fontId="10" fillId="0" borderId="0" xfId="0" applyFont="1" applyBorder="1" applyAlignment="1"/>
    <xf numFmtId="0" fontId="10" fillId="0" borderId="0" xfId="0" applyFont="1" applyFill="1" applyBorder="1" applyAlignment="1"/>
    <xf numFmtId="166" fontId="23" fillId="0" borderId="1" xfId="1" applyNumberFormat="1" applyFont="1" applyFill="1" applyBorder="1" applyAlignment="1">
      <alignment horizontal="right"/>
    </xf>
    <xf numFmtId="169" fontId="22" fillId="0" borderId="11" xfId="4" applyNumberFormat="1" applyFont="1" applyFill="1" applyBorder="1" applyAlignment="1">
      <alignment horizontal="center"/>
    </xf>
    <xf numFmtId="169" fontId="10" fillId="0" borderId="0" xfId="0" applyNumberFormat="1" applyFont="1"/>
    <xf numFmtId="0" fontId="19" fillId="9" borderId="0" xfId="0" applyFont="1" applyFill="1" applyBorder="1" applyAlignment="1">
      <alignment vertical="center"/>
    </xf>
    <xf numFmtId="0" fontId="19" fillId="9" borderId="13" xfId="0" applyFont="1" applyFill="1" applyBorder="1" applyAlignment="1">
      <alignment horizontal="centerContinuous" vertical="center"/>
    </xf>
    <xf numFmtId="0" fontId="19" fillId="9" borderId="14" xfId="0" applyFont="1" applyFill="1" applyBorder="1" applyAlignment="1">
      <alignment horizontal="centerContinuous" vertical="center"/>
    </xf>
    <xf numFmtId="0" fontId="24" fillId="9" borderId="0" xfId="0" applyFont="1" applyFill="1" applyBorder="1" applyAlignment="1">
      <alignment horizontal="center" vertical="center"/>
    </xf>
    <xf numFmtId="0" fontId="19" fillId="9" borderId="0" xfId="0" applyNumberFormat="1" applyFont="1" applyFill="1" applyBorder="1" applyAlignment="1">
      <alignment horizontal="center" vertical="center"/>
    </xf>
    <xf numFmtId="0" fontId="19" fillId="9" borderId="15" xfId="0" applyNumberFormat="1" applyFont="1" applyFill="1" applyBorder="1" applyAlignment="1">
      <alignment horizontal="center" vertical="center"/>
    </xf>
    <xf numFmtId="0" fontId="8" fillId="11" borderId="7" xfId="0" applyFont="1" applyFill="1" applyBorder="1"/>
    <xf numFmtId="0" fontId="8" fillId="11" borderId="0" xfId="0" applyFont="1" applyFill="1" applyBorder="1"/>
    <xf numFmtId="0" fontId="8" fillId="0" borderId="0" xfId="0" applyFont="1" applyFill="1" applyBorder="1"/>
    <xf numFmtId="0" fontId="25" fillId="0" borderId="0" xfId="0" applyFont="1" applyAlignment="1">
      <alignment horizontal="center"/>
    </xf>
    <xf numFmtId="10" fontId="10" fillId="0" borderId="0" xfId="0" applyNumberFormat="1" applyFont="1"/>
    <xf numFmtId="166" fontId="10" fillId="0" borderId="17" xfId="1" applyNumberFormat="1" applyFont="1" applyFill="1" applyBorder="1" applyAlignment="1">
      <alignment horizontal="right"/>
    </xf>
    <xf numFmtId="0" fontId="10" fillId="0" borderId="0" xfId="0" applyFont="1" applyBorder="1" applyAlignment="1">
      <alignment horizontal="left" indent="1"/>
    </xf>
    <xf numFmtId="166" fontId="8" fillId="0" borderId="17" xfId="1" applyNumberFormat="1" applyFont="1" applyFill="1" applyBorder="1" applyAlignment="1">
      <alignment horizontal="right"/>
    </xf>
    <xf numFmtId="0" fontId="10" fillId="0" borderId="0" xfId="0" applyFont="1" applyAlignment="1">
      <alignment horizontal="center"/>
    </xf>
    <xf numFmtId="0" fontId="10" fillId="0" borderId="0" xfId="0" applyFont="1" applyFill="1" applyBorder="1" applyAlignment="1">
      <alignment horizontal="left" indent="1"/>
    </xf>
    <xf numFmtId="171" fontId="10" fillId="0" borderId="0" xfId="0" applyNumberFormat="1" applyFont="1" applyAlignment="1">
      <alignment horizontal="right"/>
    </xf>
    <xf numFmtId="9" fontId="10" fillId="0" borderId="0" xfId="1" applyNumberFormat="1" applyFont="1" applyFill="1" applyBorder="1" applyAlignment="1">
      <alignment horizontal="right"/>
    </xf>
    <xf numFmtId="170" fontId="10" fillId="0" borderId="0" xfId="0" applyNumberFormat="1" applyFont="1"/>
    <xf numFmtId="9" fontId="10" fillId="0" borderId="0" xfId="1" applyNumberFormat="1" applyFont="1" applyFill="1" applyAlignment="1">
      <alignment horizontal="right"/>
    </xf>
    <xf numFmtId="0" fontId="10" fillId="0" borderId="0" xfId="1" applyFont="1" applyFill="1" applyBorder="1" applyAlignment="1">
      <alignment horizontal="left" wrapText="1"/>
    </xf>
    <xf numFmtId="0" fontId="10" fillId="6" borderId="0" xfId="1" applyFont="1" applyFill="1" applyBorder="1" applyAlignment="1">
      <alignment horizontal="left"/>
    </xf>
    <xf numFmtId="10" fontId="10" fillId="6" borderId="0" xfId="1" applyNumberFormat="1" applyFont="1" applyFill="1" applyBorder="1" applyAlignment="1">
      <alignment horizontal="right"/>
    </xf>
    <xf numFmtId="170" fontId="25" fillId="0" borderId="0" xfId="0" applyNumberFormat="1" applyFont="1"/>
    <xf numFmtId="2" fontId="10" fillId="0" borderId="0" xfId="0" applyNumberFormat="1" applyFont="1"/>
    <xf numFmtId="2" fontId="25" fillId="0" borderId="0" xfId="0" applyNumberFormat="1" applyFont="1"/>
    <xf numFmtId="0" fontId="8" fillId="0" borderId="0" xfId="0" applyFont="1" applyBorder="1" applyAlignment="1">
      <alignment horizontal="left" indent="1"/>
    </xf>
    <xf numFmtId="173" fontId="10" fillId="0" borderId="0" xfId="0" applyNumberFormat="1" applyFont="1"/>
    <xf numFmtId="0" fontId="11" fillId="4" borderId="4" xfId="0" applyNumberFormat="1" applyFont="1" applyFill="1" applyBorder="1"/>
    <xf numFmtId="0" fontId="11" fillId="4" borderId="5" xfId="0" applyNumberFormat="1" applyFont="1" applyFill="1" applyBorder="1"/>
    <xf numFmtId="0" fontId="25" fillId="0" borderId="7" xfId="0" applyFont="1" applyBorder="1" applyAlignment="1">
      <alignment horizontal="center"/>
    </xf>
    <xf numFmtId="0" fontId="10" fillId="0" borderId="10" xfId="0" applyFont="1" applyBorder="1"/>
    <xf numFmtId="6" fontId="10" fillId="0" borderId="0" xfId="0" applyNumberFormat="1" applyFont="1" applyFill="1"/>
    <xf numFmtId="0" fontId="8" fillId="0" borderId="0" xfId="0" applyFont="1"/>
    <xf numFmtId="3" fontId="10" fillId="0" borderId="0" xfId="0" applyNumberFormat="1" applyFont="1" applyFill="1"/>
    <xf numFmtId="172" fontId="10" fillId="0" borderId="0" xfId="0" applyNumberFormat="1" applyFont="1"/>
    <xf numFmtId="0" fontId="10" fillId="0" borderId="0" xfId="0" applyFont="1" applyAlignment="1">
      <alignment horizontal="left" indent="1"/>
    </xf>
    <xf numFmtId="174" fontId="10" fillId="0" borderId="0" xfId="0" applyNumberFormat="1" applyFont="1"/>
    <xf numFmtId="0" fontId="8" fillId="0" borderId="0" xfId="0" applyFont="1" applyFill="1"/>
    <xf numFmtId="0" fontId="10" fillId="0" borderId="0" xfId="0" applyFont="1" applyFill="1" applyAlignment="1">
      <alignment horizontal="center"/>
    </xf>
    <xf numFmtId="170" fontId="10" fillId="0" borderId="0" xfId="0" applyNumberFormat="1" applyFont="1" applyFill="1"/>
    <xf numFmtId="38" fontId="10" fillId="0" borderId="0" xfId="0" applyNumberFormat="1" applyFont="1" applyFill="1"/>
    <xf numFmtId="175" fontId="10" fillId="0" borderId="0" xfId="0" applyNumberFormat="1" applyFont="1"/>
    <xf numFmtId="38" fontId="10" fillId="0" borderId="0" xfId="1" applyNumberFormat="1" applyFont="1" applyFill="1" applyAlignment="1">
      <alignment horizontal="right"/>
    </xf>
    <xf numFmtId="38" fontId="23" fillId="0" borderId="0" xfId="1" applyNumberFormat="1" applyFont="1" applyFill="1" applyAlignment="1">
      <alignment horizontal="right"/>
    </xf>
    <xf numFmtId="0" fontId="8" fillId="0" borderId="0" xfId="1" applyFont="1" applyFill="1" applyAlignment="1">
      <alignment horizontal="left"/>
    </xf>
    <xf numFmtId="38" fontId="10" fillId="0" borderId="0" xfId="1" applyNumberFormat="1" applyFont="1" applyFill="1" applyAlignment="1">
      <alignment horizontal="left"/>
    </xf>
    <xf numFmtId="38" fontId="10" fillId="0" borderId="0" xfId="1" applyNumberFormat="1" applyFont="1" applyFill="1" applyBorder="1" applyAlignment="1">
      <alignment horizontal="right"/>
    </xf>
    <xf numFmtId="0" fontId="10" fillId="0" borderId="10" xfId="1" applyFont="1" applyFill="1" applyBorder="1" applyAlignment="1">
      <alignment horizontal="left" wrapText="1"/>
    </xf>
    <xf numFmtId="165" fontId="10" fillId="0" borderId="10" xfId="1" applyNumberFormat="1" applyFont="1" applyFill="1" applyBorder="1" applyAlignment="1">
      <alignment horizontal="right"/>
    </xf>
    <xf numFmtId="0" fontId="26" fillId="2" borderId="0" xfId="1" applyFont="1" applyFill="1" applyAlignment="1">
      <alignment horizontal="left"/>
    </xf>
    <xf numFmtId="38" fontId="10" fillId="0" borderId="10" xfId="1" applyNumberFormat="1" applyFont="1" applyFill="1" applyBorder="1" applyAlignment="1">
      <alignment horizontal="right"/>
    </xf>
    <xf numFmtId="165" fontId="10" fillId="0" borderId="0" xfId="1" applyNumberFormat="1" applyFont="1" applyFill="1" applyBorder="1" applyAlignment="1">
      <alignment horizontal="right"/>
    </xf>
    <xf numFmtId="0" fontId="10" fillId="0" borderId="2" xfId="1" applyFont="1" applyFill="1" applyBorder="1" applyAlignment="1">
      <alignment horizontal="left"/>
    </xf>
    <xf numFmtId="166" fontId="23" fillId="0" borderId="2" xfId="1" applyNumberFormat="1" applyFont="1" applyFill="1" applyBorder="1" applyAlignment="1">
      <alignment horizontal="right"/>
    </xf>
    <xf numFmtId="166" fontId="10" fillId="0" borderId="2" xfId="1" applyNumberFormat="1" applyFont="1" applyFill="1" applyBorder="1" applyAlignment="1">
      <alignment horizontal="right"/>
    </xf>
    <xf numFmtId="165" fontId="23" fillId="0" borderId="0" xfId="1" applyNumberFormat="1" applyFont="1" applyFill="1" applyBorder="1" applyAlignment="1">
      <alignment horizontal="right"/>
    </xf>
    <xf numFmtId="166" fontId="23" fillId="0" borderId="0" xfId="1" applyNumberFormat="1" applyFont="1" applyFill="1" applyBorder="1" applyAlignment="1">
      <alignment horizontal="right"/>
    </xf>
    <xf numFmtId="0" fontId="8" fillId="0" borderId="9" xfId="1" applyNumberFormat="1" applyFont="1" applyFill="1" applyBorder="1" applyAlignment="1">
      <alignment horizontal="left"/>
    </xf>
    <xf numFmtId="165" fontId="10" fillId="0" borderId="9" xfId="1" applyNumberFormat="1" applyFont="1" applyFill="1" applyBorder="1" applyAlignment="1">
      <alignment horizontal="right"/>
    </xf>
    <xf numFmtId="0" fontId="8" fillId="0" borderId="0" xfId="1" applyNumberFormat="1" applyFont="1" applyFill="1" applyBorder="1" applyAlignment="1">
      <alignment horizontal="left"/>
    </xf>
    <xf numFmtId="165" fontId="26" fillId="0" borderId="0" xfId="1" applyNumberFormat="1" applyFont="1" applyFill="1" applyBorder="1" applyAlignment="1">
      <alignment horizontal="right"/>
    </xf>
    <xf numFmtId="165" fontId="27" fillId="0" borderId="0" xfId="1" applyNumberFormat="1" applyFont="1" applyFill="1" applyBorder="1" applyAlignment="1">
      <alignment horizontal="right"/>
    </xf>
    <xf numFmtId="165" fontId="8" fillId="0" borderId="0" xfId="1" applyNumberFormat="1" applyFont="1" applyFill="1" applyBorder="1" applyAlignment="1">
      <alignment horizontal="right"/>
    </xf>
    <xf numFmtId="6" fontId="10" fillId="0" borderId="0" xfId="0" applyNumberFormat="1" applyFont="1" applyAlignment="1">
      <alignment horizontal="left" indent="1"/>
    </xf>
    <xf numFmtId="165" fontId="10" fillId="0" borderId="0" xfId="0" applyNumberFormat="1" applyFont="1" applyAlignment="1">
      <alignment horizontal="left" indent="1"/>
    </xf>
    <xf numFmtId="166" fontId="10" fillId="0" borderId="0" xfId="0" applyNumberFormat="1" applyFont="1" applyAlignment="1">
      <alignment horizontal="left" indent="1"/>
    </xf>
    <xf numFmtId="0" fontId="8" fillId="0" borderId="0" xfId="0" applyFont="1" applyBorder="1"/>
    <xf numFmtId="0" fontId="8" fillId="0" borderId="8" xfId="0" applyFont="1" applyBorder="1"/>
    <xf numFmtId="0" fontId="9" fillId="0" borderId="0" xfId="0" applyFont="1" applyFill="1"/>
    <xf numFmtId="0" fontId="9" fillId="0" borderId="0" xfId="0" applyFont="1" applyFill="1" applyAlignment="1">
      <alignment horizontal="center"/>
    </xf>
    <xf numFmtId="165" fontId="8" fillId="0" borderId="0" xfId="0" applyNumberFormat="1" applyFont="1" applyFill="1" applyAlignment="1">
      <alignment horizontal="right"/>
    </xf>
    <xf numFmtId="0" fontId="10" fillId="0" borderId="0" xfId="0" applyFont="1" applyAlignment="1">
      <alignment horizontal="left"/>
    </xf>
    <xf numFmtId="38" fontId="8" fillId="0" borderId="0" xfId="0" applyNumberFormat="1" applyFont="1"/>
    <xf numFmtId="38" fontId="23" fillId="0" borderId="0" xfId="0" applyNumberFormat="1" applyFont="1"/>
    <xf numFmtId="38" fontId="28" fillId="0" borderId="0" xfId="0" applyNumberFormat="1" applyFont="1"/>
    <xf numFmtId="0" fontId="25" fillId="0" borderId="0" xfId="0" applyFont="1" applyAlignment="1">
      <alignment horizontal="left" indent="1"/>
    </xf>
    <xf numFmtId="10" fontId="25" fillId="0" borderId="0" xfId="0" applyNumberFormat="1" applyFont="1"/>
    <xf numFmtId="38" fontId="8" fillId="0" borderId="8" xfId="0" applyNumberFormat="1" applyFont="1" applyBorder="1"/>
    <xf numFmtId="0" fontId="11" fillId="0" borderId="0" xfId="0" applyFont="1" applyFill="1"/>
    <xf numFmtId="0" fontId="11" fillId="0" borderId="0" xfId="0" applyFont="1" applyFill="1" applyAlignment="1">
      <alignment horizontal="center"/>
    </xf>
    <xf numFmtId="171" fontId="10" fillId="0" borderId="0" xfId="0" applyNumberFormat="1" applyFont="1"/>
    <xf numFmtId="9" fontId="10" fillId="0" borderId="0" xfId="0" applyNumberFormat="1" applyFont="1"/>
    <xf numFmtId="7" fontId="10" fillId="0" borderId="0" xfId="1" applyNumberFormat="1" applyFont="1" applyFill="1" applyAlignment="1">
      <alignment horizontal="left"/>
    </xf>
    <xf numFmtId="0" fontId="10" fillId="0" borderId="0" xfId="0" applyFont="1" applyFill="1" applyBorder="1" applyAlignment="1">
      <alignment horizontal="center"/>
    </xf>
    <xf numFmtId="10" fontId="10" fillId="0" borderId="0" xfId="0" applyNumberFormat="1" applyFont="1" applyAlignment="1">
      <alignment horizontal="left" indent="1"/>
    </xf>
    <xf numFmtId="0" fontId="10" fillId="0" borderId="0" xfId="0" applyFont="1" applyAlignment="1">
      <alignment horizontal="left" wrapText="1" indent="1"/>
    </xf>
    <xf numFmtId="8" fontId="8" fillId="2" borderId="0" xfId="0" applyNumberFormat="1" applyFont="1" applyFill="1"/>
    <xf numFmtId="38" fontId="23" fillId="0" borderId="2" xfId="1" applyNumberFormat="1" applyFont="1" applyFill="1" applyBorder="1" applyAlignment="1">
      <alignment horizontal="right"/>
    </xf>
    <xf numFmtId="38" fontId="10" fillId="0" borderId="2" xfId="1" applyNumberFormat="1" applyFont="1" applyFill="1" applyBorder="1" applyAlignment="1">
      <alignment horizontal="right"/>
    </xf>
    <xf numFmtId="44" fontId="8" fillId="0" borderId="0" xfId="6" applyFont="1" applyFill="1" applyAlignment="1">
      <alignment horizontal="center"/>
    </xf>
    <xf numFmtId="38" fontId="10" fillId="0" borderId="8" xfId="0" applyNumberFormat="1" applyFont="1" applyBorder="1"/>
    <xf numFmtId="177" fontId="10" fillId="0" borderId="0" xfId="0" applyNumberFormat="1" applyFont="1" applyAlignment="1">
      <alignment horizontal="center"/>
    </xf>
    <xf numFmtId="0" fontId="10" fillId="0" borderId="0" xfId="0" applyFont="1" applyBorder="1" applyAlignment="1">
      <alignment horizontal="center"/>
    </xf>
    <xf numFmtId="171" fontId="10" fillId="0" borderId="0" xfId="0" applyNumberFormat="1" applyFont="1" applyBorder="1"/>
    <xf numFmtId="38" fontId="10" fillId="0" borderId="0" xfId="0" applyNumberFormat="1" applyFont="1" applyAlignment="1">
      <alignment horizontal="center"/>
    </xf>
    <xf numFmtId="49" fontId="10" fillId="0" borderId="0" xfId="0" applyNumberFormat="1" applyFont="1" applyAlignment="1">
      <alignment horizontal="center"/>
    </xf>
    <xf numFmtId="0" fontId="10" fillId="0" borderId="0" xfId="0" applyFont="1" applyAlignment="1"/>
    <xf numFmtId="0" fontId="10" fillId="0" borderId="0" xfId="0" applyFont="1" applyAlignment="1">
      <alignment vertical="center" wrapText="1"/>
    </xf>
    <xf numFmtId="171" fontId="29" fillId="6" borderId="18" xfId="0" applyNumberFormat="1" applyFont="1" applyFill="1" applyBorder="1"/>
    <xf numFmtId="171" fontId="29" fillId="0" borderId="0" xfId="0" applyNumberFormat="1" applyFont="1" applyFill="1" applyBorder="1"/>
    <xf numFmtId="38" fontId="8" fillId="0" borderId="0" xfId="0" applyNumberFormat="1" applyFont="1" applyBorder="1"/>
    <xf numFmtId="0" fontId="8" fillId="0" borderId="0" xfId="0" applyFont="1" applyAlignment="1">
      <alignment horizontal="center"/>
    </xf>
    <xf numFmtId="38" fontId="8" fillId="0" borderId="18" xfId="0" applyNumberFormat="1" applyFont="1" applyBorder="1" applyAlignment="1">
      <alignment horizontal="center"/>
    </xf>
    <xf numFmtId="38" fontId="8" fillId="0" borderId="0" xfId="0" applyNumberFormat="1" applyFont="1" applyBorder="1" applyAlignment="1">
      <alignment horizontal="center"/>
    </xf>
    <xf numFmtId="0" fontId="30" fillId="0" borderId="0" xfId="0" applyFont="1"/>
    <xf numFmtId="0" fontId="31" fillId="0" borderId="0" xfId="0" applyFont="1" applyAlignment="1"/>
    <xf numFmtId="0" fontId="31" fillId="0" borderId="0" xfId="0" applyFont="1" applyAlignment="1">
      <alignment vertical="center" wrapText="1"/>
    </xf>
    <xf numFmtId="0" fontId="10" fillId="0" borderId="9" xfId="0" applyFont="1" applyBorder="1"/>
    <xf numFmtId="3" fontId="10" fillId="0" borderId="9" xfId="0" applyNumberFormat="1" applyFont="1" applyBorder="1"/>
    <xf numFmtId="178" fontId="10" fillId="0" borderId="0" xfId="0" applyNumberFormat="1" applyFont="1"/>
    <xf numFmtId="0" fontId="10" fillId="7" borderId="19" xfId="0" applyFont="1" applyFill="1" applyBorder="1"/>
    <xf numFmtId="10" fontId="10" fillId="7" borderId="20" xfId="0" applyNumberFormat="1" applyFont="1" applyFill="1" applyBorder="1"/>
    <xf numFmtId="0" fontId="9" fillId="12" borderId="0" xfId="0" applyFont="1" applyFill="1"/>
    <xf numFmtId="0" fontId="9" fillId="12" borderId="0" xfId="0" applyFont="1" applyFill="1" applyAlignment="1">
      <alignment horizontal="center"/>
    </xf>
    <xf numFmtId="0" fontId="9" fillId="12" borderId="0" xfId="0" applyNumberFormat="1" applyFont="1" applyFill="1" applyAlignment="1">
      <alignment horizontal="center"/>
    </xf>
    <xf numFmtId="1" fontId="9" fillId="12" borderId="0" xfId="0" applyNumberFormat="1" applyFont="1" applyFill="1" applyAlignment="1">
      <alignment horizontal="center"/>
    </xf>
    <xf numFmtId="0" fontId="11" fillId="12" borderId="0" xfId="0" applyFont="1" applyFill="1"/>
    <xf numFmtId="0" fontId="11" fillId="12" borderId="0" xfId="0" applyFont="1" applyFill="1" applyBorder="1"/>
    <xf numFmtId="0" fontId="11" fillId="0" borderId="0" xfId="0" applyFont="1" applyFill="1" applyBorder="1"/>
    <xf numFmtId="1" fontId="10" fillId="0" borderId="0" xfId="0" applyNumberFormat="1" applyFont="1" applyBorder="1"/>
    <xf numFmtId="3" fontId="22" fillId="0" borderId="0" xfId="5" applyNumberFormat="1" applyFont="1" applyFill="1" applyBorder="1" applyAlignment="1">
      <alignment horizontal="left" vertical="center" indent="4"/>
    </xf>
    <xf numFmtId="0" fontId="10" fillId="0" borderId="0" xfId="0" applyFont="1" applyFill="1" applyBorder="1"/>
    <xf numFmtId="0" fontId="25" fillId="0" borderId="0" xfId="0" applyFont="1" applyFill="1" applyBorder="1"/>
    <xf numFmtId="0" fontId="8" fillId="0" borderId="0" xfId="0" applyFont="1" applyFill="1" applyBorder="1" applyAlignment="1">
      <alignment vertical="center"/>
    </xf>
    <xf numFmtId="1" fontId="8" fillId="0" borderId="0" xfId="5" applyNumberFormat="1" applyFont="1" applyFill="1" applyBorder="1" applyAlignment="1">
      <alignment vertical="center" wrapText="1"/>
    </xf>
    <xf numFmtId="14" fontId="10" fillId="0" borderId="0" xfId="0" applyNumberFormat="1" applyFont="1" applyBorder="1"/>
    <xf numFmtId="0" fontId="10" fillId="7" borderId="0" xfId="0" applyFont="1" applyFill="1"/>
    <xf numFmtId="2" fontId="10" fillId="7" borderId="0" xfId="0" applyNumberFormat="1" applyFont="1" applyFill="1"/>
    <xf numFmtId="3" fontId="10" fillId="7" borderId="0" xfId="0" applyNumberFormat="1" applyFont="1" applyFill="1"/>
    <xf numFmtId="166" fontId="10" fillId="0" borderId="0" xfId="0" applyNumberFormat="1" applyFont="1"/>
    <xf numFmtId="0" fontId="10" fillId="7" borderId="0" xfId="0" applyFont="1" applyFill="1" applyAlignment="1"/>
    <xf numFmtId="10" fontId="10" fillId="7" borderId="0" xfId="0" applyNumberFormat="1" applyFont="1" applyFill="1"/>
    <xf numFmtId="38" fontId="10" fillId="0" borderId="0" xfId="1" applyNumberFormat="1" applyFont="1" applyFill="1" applyAlignment="1">
      <alignment horizontal="center"/>
    </xf>
    <xf numFmtId="38" fontId="8" fillId="0" borderId="0" xfId="1" applyNumberFormat="1" applyFont="1" applyFill="1" applyAlignment="1">
      <alignment horizontal="center"/>
    </xf>
    <xf numFmtId="3" fontId="10" fillId="0" borderId="0" xfId="0" applyNumberFormat="1" applyFont="1" applyAlignment="1">
      <alignment horizontal="left"/>
    </xf>
    <xf numFmtId="3" fontId="10" fillId="0" borderId="0" xfId="0" applyNumberFormat="1" applyFont="1" applyAlignment="1">
      <alignment horizontal="left" indent="1"/>
    </xf>
    <xf numFmtId="38" fontId="10" fillId="0" borderId="0" xfId="0" applyNumberFormat="1" applyFont="1" applyAlignment="1">
      <alignment horizontal="left" indent="1"/>
    </xf>
    <xf numFmtId="38" fontId="10" fillId="7" borderId="0" xfId="1" applyNumberFormat="1" applyFont="1" applyFill="1" applyAlignment="1">
      <alignment horizontal="right"/>
    </xf>
    <xf numFmtId="10" fontId="10" fillId="0" borderId="0" xfId="0" applyNumberFormat="1" applyFont="1" applyAlignment="1">
      <alignment horizontal="right"/>
    </xf>
    <xf numFmtId="170" fontId="10" fillId="0" borderId="0" xfId="0" applyNumberFormat="1" applyFont="1" applyAlignment="1">
      <alignment horizontal="right"/>
    </xf>
    <xf numFmtId="39" fontId="22" fillId="7" borderId="12" xfId="4" applyNumberFormat="1" applyFont="1" applyFill="1" applyBorder="1" applyAlignment="1">
      <alignment horizontal="centerContinuous"/>
    </xf>
    <xf numFmtId="0" fontId="22" fillId="7" borderId="11" xfId="4" applyFont="1" applyFill="1" applyAlignment="1">
      <alignment horizontal="center"/>
    </xf>
    <xf numFmtId="44" fontId="22" fillId="7" borderId="11" xfId="4" applyNumberFormat="1" applyFont="1" applyFill="1" applyAlignment="1">
      <alignment horizontal="center"/>
    </xf>
    <xf numFmtId="167" fontId="22" fillId="7" borderId="11" xfId="4" applyNumberFormat="1" applyFont="1" applyFill="1" applyAlignment="1">
      <alignment horizontal="center"/>
    </xf>
    <xf numFmtId="39" fontId="22" fillId="7" borderId="11" xfId="4" applyNumberFormat="1" applyFont="1" applyFill="1" applyBorder="1" applyAlignment="1">
      <alignment horizontal="centerContinuous"/>
    </xf>
    <xf numFmtId="168" fontId="22" fillId="7" borderId="11" xfId="4" applyNumberFormat="1" applyFont="1" applyFill="1" applyAlignment="1">
      <alignment horizontal="center"/>
    </xf>
    <xf numFmtId="169" fontId="22" fillId="7" borderId="11" xfId="4" applyNumberFormat="1" applyFont="1" applyFill="1" applyBorder="1" applyAlignment="1">
      <alignment horizontal="center"/>
    </xf>
    <xf numFmtId="173" fontId="8" fillId="7" borderId="0" xfId="0" applyNumberFormat="1" applyFont="1" applyFill="1"/>
    <xf numFmtId="43" fontId="10" fillId="7" borderId="7" xfId="0" applyNumberFormat="1" applyFont="1" applyFill="1" applyBorder="1"/>
    <xf numFmtId="43" fontId="10" fillId="7" borderId="0" xfId="0" applyNumberFormat="1" applyFont="1" applyFill="1" applyBorder="1"/>
    <xf numFmtId="173" fontId="10" fillId="7" borderId="0" xfId="0" applyNumberFormat="1" applyFont="1" applyFill="1" applyBorder="1"/>
    <xf numFmtId="169" fontId="10" fillId="7" borderId="11" xfId="4" applyNumberFormat="1" applyFont="1" applyFill="1" applyBorder="1" applyAlignment="1"/>
    <xf numFmtId="169" fontId="10" fillId="7" borderId="0" xfId="4" applyNumberFormat="1" applyFont="1" applyFill="1" applyBorder="1" applyAlignment="1"/>
    <xf numFmtId="173" fontId="10" fillId="7" borderId="11" xfId="4" applyNumberFormat="1" applyFont="1" applyFill="1"/>
    <xf numFmtId="169" fontId="10" fillId="0" borderId="0" xfId="4" applyNumberFormat="1" applyFont="1" applyFill="1" applyBorder="1" applyAlignment="1"/>
    <xf numFmtId="176" fontId="10" fillId="7" borderId="16" xfId="4" applyNumberFormat="1" applyFont="1" applyFill="1" applyBorder="1" applyAlignment="1"/>
    <xf numFmtId="169" fontId="10" fillId="7" borderId="16" xfId="4" applyNumberFormat="1" applyFont="1" applyFill="1" applyBorder="1" applyAlignment="1"/>
    <xf numFmtId="173" fontId="10" fillId="10" borderId="11" xfId="4" applyNumberFormat="1" applyFont="1" applyFill="1"/>
    <xf numFmtId="169" fontId="10" fillId="10" borderId="11" xfId="4" applyNumberFormat="1" applyFont="1" applyFill="1" applyBorder="1" applyAlignment="1"/>
    <xf numFmtId="9" fontId="10" fillId="10" borderId="11" xfId="4" applyNumberFormat="1" applyFont="1" applyFill="1" applyBorder="1" applyAlignment="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Fill="1" applyBorder="1" applyAlignment="1">
      <alignment horizontal="left" wrapText="1"/>
    </xf>
    <xf numFmtId="0" fontId="10" fillId="0" borderId="0" xfId="0" applyFont="1" applyFill="1" applyAlignment="1">
      <alignment horizontal="left"/>
    </xf>
    <xf numFmtId="49" fontId="10" fillId="0" borderId="0" xfId="0" applyNumberFormat="1" applyFont="1" applyBorder="1" applyAlignment="1">
      <alignment horizontal="left"/>
    </xf>
    <xf numFmtId="0" fontId="8" fillId="0" borderId="0" xfId="0" applyFont="1" applyBorder="1" applyAlignment="1">
      <alignment horizontal="left"/>
    </xf>
    <xf numFmtId="0" fontId="8" fillId="0" borderId="10" xfId="0" applyFont="1" applyBorder="1" applyAlignment="1">
      <alignment horizontal="left"/>
    </xf>
    <xf numFmtId="174" fontId="10" fillId="7" borderId="0" xfId="4" applyNumberFormat="1" applyFont="1" applyFill="1" applyBorder="1"/>
    <xf numFmtId="170" fontId="25" fillId="7" borderId="0" xfId="0" applyNumberFormat="1" applyFont="1" applyFill="1" applyBorder="1"/>
    <xf numFmtId="170" fontId="10" fillId="7" borderId="0" xfId="0" applyNumberFormat="1" applyFont="1" applyFill="1" applyBorder="1"/>
    <xf numFmtId="0" fontId="10" fillId="7" borderId="0" xfId="0" applyFont="1" applyFill="1" applyBorder="1"/>
    <xf numFmtId="0" fontId="10" fillId="0" borderId="2" xfId="0" applyFont="1" applyFill="1" applyBorder="1"/>
    <xf numFmtId="3" fontId="10" fillId="0" borderId="2" xfId="0" applyNumberFormat="1" applyFont="1" applyFill="1" applyBorder="1"/>
    <xf numFmtId="10" fontId="26" fillId="0" borderId="0" xfId="0" applyNumberFormat="1" applyFont="1"/>
    <xf numFmtId="3" fontId="8" fillId="0" borderId="0" xfId="5" applyNumberFormat="1" applyFont="1" applyFill="1" applyBorder="1" applyAlignment="1">
      <alignment vertical="center" wrapText="1"/>
    </xf>
    <xf numFmtId="38" fontId="10" fillId="0" borderId="0" xfId="0" applyNumberFormat="1" applyFont="1"/>
    <xf numFmtId="0" fontId="10" fillId="0" borderId="0" xfId="0" applyFont="1" applyAlignment="1">
      <alignment horizontal="right"/>
    </xf>
    <xf numFmtId="10" fontId="25" fillId="0" borderId="0" xfId="0" applyNumberFormat="1" applyFont="1" applyFill="1"/>
    <xf numFmtId="38" fontId="26" fillId="0" borderId="0" xfId="0" applyNumberFormat="1" applyFont="1" applyAlignment="1">
      <alignment horizontal="center"/>
    </xf>
  </cellXfs>
  <cellStyles count="7">
    <cellStyle name="Comma" xfId="5" builtinId="3"/>
    <cellStyle name="Currency" xfId="6" builtinId="4"/>
    <cellStyle name="Hyperlink" xfId="3" builtinId="8"/>
    <cellStyle name="Normal" xfId="0" builtinId="0"/>
    <cellStyle name="Normal 2" xfId="1" xr:uid="{00000000-0005-0000-0000-000004000000}"/>
    <cellStyle name="Normal 3" xfId="2" xr:uid="{00000000-0005-0000-0000-000005000000}"/>
    <cellStyle name="Note" xfId="4"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sec.gov/Archives/edgar/data/886982/000119312515056785/d840464d10k.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7"/>
  <sheetViews>
    <sheetView topLeftCell="G132" zoomScale="70" zoomScaleNormal="70" workbookViewId="0" xr3:uid="{AEA406A1-0E4B-5B11-9CD5-51D6E497D94C}">
      <selection sqref="A1:U168"/>
    </sheetView>
  </sheetViews>
  <sheetFormatPr defaultColWidth="10.8515625" defaultRowHeight="14.25" x14ac:dyDescent="0.15"/>
  <cols>
    <col min="1" max="1" width="59.43359375" style="25" customWidth="1"/>
    <col min="2" max="4" width="14.42578125" style="25" bestFit="1" customWidth="1"/>
    <col min="5" max="5" width="15.66015625" style="25" bestFit="1" customWidth="1"/>
    <col min="6" max="7" width="14.42578125" style="25" bestFit="1" customWidth="1"/>
    <col min="8" max="8" width="14.1796875" style="25" bestFit="1" customWidth="1"/>
    <col min="9" max="9" width="14.42578125" style="25" bestFit="1" customWidth="1"/>
    <col min="10" max="12" width="10.8515625" style="25"/>
    <col min="13" max="13" width="30.828125" style="25" bestFit="1" customWidth="1"/>
    <col min="14" max="14" width="11.8359375" style="25" bestFit="1" customWidth="1"/>
    <col min="15" max="15" width="13.80859375" style="25" bestFit="1" customWidth="1"/>
    <col min="16" max="17" width="10.97265625" style="25" bestFit="1" customWidth="1"/>
    <col min="18" max="22" width="12.328125" style="25" bestFit="1" customWidth="1"/>
    <col min="23" max="25" width="10.8515625" style="25"/>
    <col min="26" max="26" width="10.97265625" style="25" bestFit="1" customWidth="1"/>
    <col min="27" max="16384" width="10.8515625" style="25"/>
  </cols>
  <sheetData>
    <row r="1" spans="1:25" x14ac:dyDescent="0.15">
      <c r="A1" s="23" t="s">
        <v>34</v>
      </c>
      <c r="B1" s="34"/>
      <c r="C1" s="34"/>
      <c r="D1" s="23"/>
      <c r="L1" s="90" t="s">
        <v>162</v>
      </c>
      <c r="M1" s="91"/>
      <c r="N1" s="92"/>
      <c r="O1" s="93"/>
      <c r="P1" s="93"/>
      <c r="Q1" s="93"/>
      <c r="R1" s="93"/>
      <c r="S1" s="92"/>
      <c r="T1" s="93"/>
      <c r="U1" s="93"/>
      <c r="V1" s="93"/>
    </row>
    <row r="2" spans="1:25" x14ac:dyDescent="0.15">
      <c r="A2" s="23" t="s">
        <v>33</v>
      </c>
      <c r="B2" s="34"/>
      <c r="C2" s="34"/>
      <c r="D2" s="23"/>
    </row>
    <row r="3" spans="1:25" x14ac:dyDescent="0.15">
      <c r="A3" s="23" t="s">
        <v>32</v>
      </c>
      <c r="B3" s="34"/>
      <c r="C3" s="34"/>
      <c r="D3" s="23"/>
      <c r="M3" s="25" t="s">
        <v>163</v>
      </c>
      <c r="N3" s="241" t="s">
        <v>226</v>
      </c>
      <c r="O3" s="241"/>
      <c r="P3" s="245"/>
    </row>
    <row r="4" spans="1:25" x14ac:dyDescent="0.15">
      <c r="A4" s="35" t="s">
        <v>107</v>
      </c>
      <c r="B4" s="34"/>
      <c r="C4" s="34"/>
      <c r="D4" s="34"/>
      <c r="M4" s="25" t="s">
        <v>164</v>
      </c>
      <c r="N4" s="242" t="s">
        <v>203</v>
      </c>
    </row>
    <row r="5" spans="1:25" ht="15" thickBot="1" x14ac:dyDescent="0.2">
      <c r="A5" s="36" t="s">
        <v>30</v>
      </c>
      <c r="B5" s="35"/>
      <c r="C5" s="35"/>
      <c r="D5" s="35"/>
      <c r="E5" s="86" t="s">
        <v>215</v>
      </c>
      <c r="F5" s="86" t="s">
        <v>215</v>
      </c>
      <c r="G5" s="86" t="s">
        <v>215</v>
      </c>
      <c r="H5" s="86" t="s">
        <v>215</v>
      </c>
      <c r="I5" s="86" t="s">
        <v>215</v>
      </c>
      <c r="M5" s="25" t="s">
        <v>165</v>
      </c>
      <c r="N5" s="243">
        <v>268.02</v>
      </c>
    </row>
    <row r="6" spans="1:25" ht="15" thickBot="1" x14ac:dyDescent="0.2">
      <c r="A6" s="87" t="s">
        <v>124</v>
      </c>
      <c r="B6" s="88">
        <v>2014</v>
      </c>
      <c r="C6" s="88">
        <v>2015</v>
      </c>
      <c r="D6" s="89">
        <v>2016</v>
      </c>
      <c r="E6" s="88">
        <v>2017</v>
      </c>
      <c r="F6" s="88">
        <v>2018</v>
      </c>
      <c r="G6" s="89">
        <v>2019</v>
      </c>
      <c r="H6" s="89">
        <v>2020</v>
      </c>
      <c r="I6" s="89">
        <v>2021</v>
      </c>
      <c r="M6" s="95" t="s">
        <v>166</v>
      </c>
      <c r="N6" s="244">
        <v>42735</v>
      </c>
    </row>
    <row r="7" spans="1:25" x14ac:dyDescent="0.15">
      <c r="A7" s="42" t="s">
        <v>29</v>
      </c>
      <c r="B7" s="43"/>
      <c r="C7" s="43"/>
      <c r="D7" s="43"/>
      <c r="E7" s="43"/>
      <c r="F7" s="43"/>
      <c r="G7" s="43"/>
      <c r="H7" s="43"/>
      <c r="I7" s="43"/>
      <c r="M7" s="95"/>
    </row>
    <row r="8" spans="1:25" x14ac:dyDescent="0.15">
      <c r="A8" s="35" t="s">
        <v>28</v>
      </c>
      <c r="B8" s="45">
        <f>'Consolidated I S 2016'!B9</f>
        <v>6464</v>
      </c>
      <c r="C8" s="45">
        <f>'Consolidated I S 2016'!C9</f>
        <v>7027</v>
      </c>
      <c r="D8" s="45">
        <f>'Consolidated I S 2016'!D9</f>
        <v>6273</v>
      </c>
      <c r="E8" s="94">
        <f>E$17*R15</f>
        <v>6120.3802187210367</v>
      </c>
      <c r="F8" s="94">
        <f>F$17*S15</f>
        <v>6352.7812500661121</v>
      </c>
      <c r="G8" s="94">
        <f>G$17*T15</f>
        <v>6455.4858140060169</v>
      </c>
      <c r="H8" s="94">
        <f>H$17*U15</f>
        <v>6728.7572455180389</v>
      </c>
      <c r="I8" s="94">
        <f>I$17*V15</f>
        <v>6924.773711818194</v>
      </c>
      <c r="M8" s="96" t="s">
        <v>167</v>
      </c>
      <c r="N8" s="246">
        <f>AVERAGE(P23:V23)</f>
        <v>2.945136542645826E-3</v>
      </c>
    </row>
    <row r="9" spans="1:25" ht="15" x14ac:dyDescent="0.2">
      <c r="A9" s="36" t="s">
        <v>27</v>
      </c>
      <c r="B9" s="65">
        <f>'Consolidated I S 2016'!B10</f>
        <v>5748</v>
      </c>
      <c r="C9" s="65">
        <f>'Consolidated I S 2016'!C10</f>
        <v>5868</v>
      </c>
      <c r="D9" s="65">
        <f>'Consolidated I S 2016'!D10</f>
        <v>5407</v>
      </c>
      <c r="E9" s="238">
        <f>E$17*R16</f>
        <v>4939.8863360000005</v>
      </c>
      <c r="F9" s="238">
        <f>F$17*S16</f>
        <v>4930.0546791040006</v>
      </c>
      <c r="G9" s="238">
        <f t="shared" ref="G9:I12" si="0">$E$17*T16</f>
        <v>4747.4232320000001</v>
      </c>
      <c r="H9" s="238">
        <f t="shared" si="0"/>
        <v>4747.4232320000001</v>
      </c>
      <c r="I9" s="238">
        <f t="shared" si="0"/>
        <v>4779.5004159999999</v>
      </c>
      <c r="M9" s="95" t="s">
        <v>168</v>
      </c>
      <c r="N9" s="247">
        <v>0.21</v>
      </c>
      <c r="O9" s="25" t="s">
        <v>310</v>
      </c>
      <c r="Y9" s="68"/>
    </row>
    <row r="10" spans="1:25" x14ac:dyDescent="0.15">
      <c r="A10" s="36" t="s">
        <v>26</v>
      </c>
      <c r="B10" s="65">
        <f>'Consolidated I S 2016'!B11</f>
        <v>3316</v>
      </c>
      <c r="C10" s="65">
        <f>'Consolidated I S 2016'!C11</f>
        <v>3320</v>
      </c>
      <c r="D10" s="65">
        <f>'Consolidated I S 2016'!D11</f>
        <v>3208</v>
      </c>
      <c r="E10" s="238">
        <f>E$17*R17</f>
        <v>2886.9465599999999</v>
      </c>
      <c r="F10" s="238">
        <f>$F$17*S17</f>
        <v>2944.7977613440003</v>
      </c>
      <c r="G10" s="238">
        <f t="shared" si="0"/>
        <v>2790.7150080000001</v>
      </c>
      <c r="H10" s="238">
        <f t="shared" si="0"/>
        <v>2790.7150080000001</v>
      </c>
      <c r="I10" s="238">
        <f t="shared" si="0"/>
        <v>2726.5606400000001</v>
      </c>
      <c r="M10" s="95" t="s">
        <v>169</v>
      </c>
      <c r="N10" s="247">
        <v>5.7000000000000002E-2</v>
      </c>
      <c r="O10" s="98"/>
      <c r="P10" s="98"/>
      <c r="Q10" s="99"/>
    </row>
    <row r="11" spans="1:25" x14ac:dyDescent="0.15">
      <c r="A11" s="36" t="s">
        <v>25</v>
      </c>
      <c r="B11" s="65">
        <f>'Consolidated I S 2016'!B12</f>
        <v>8365</v>
      </c>
      <c r="C11" s="65">
        <f>'Consolidated I S 2016'!C12</f>
        <v>9523</v>
      </c>
      <c r="D11" s="65">
        <f>'Consolidated I S 2016'!D12</f>
        <v>9933</v>
      </c>
      <c r="E11" s="238">
        <f>E$17*R18</f>
        <v>9302.3833599999998</v>
      </c>
      <c r="F11" s="238">
        <f>$F$17*S18</f>
        <v>9694.6712817280004</v>
      </c>
      <c r="G11" s="238">
        <f t="shared" si="0"/>
        <v>9559.0008319999997</v>
      </c>
      <c r="H11" s="238">
        <f t="shared" si="0"/>
        <v>9591.0780159999995</v>
      </c>
      <c r="I11" s="238">
        <f t="shared" si="0"/>
        <v>9623.1551999999992</v>
      </c>
      <c r="M11" s="95" t="s">
        <v>170</v>
      </c>
      <c r="N11" s="247">
        <v>8.0000000000000002E-3</v>
      </c>
    </row>
    <row r="12" spans="1:25" ht="15" thickBot="1" x14ac:dyDescent="0.2">
      <c r="A12" s="38" t="s">
        <v>24</v>
      </c>
      <c r="B12" s="49">
        <f>'Consolidated I S 2016'!B13</f>
        <v>6588</v>
      </c>
      <c r="C12" s="49">
        <f>'Consolidated I S 2016'!C13</f>
        <v>5018</v>
      </c>
      <c r="D12" s="49">
        <f>'Consolidated I S 2016'!D13</f>
        <v>3200</v>
      </c>
      <c r="E12" s="238">
        <f>E$17*R19</f>
        <v>2854.8693760000001</v>
      </c>
      <c r="F12" s="238">
        <f>$F$17*S19</f>
        <v>2878.6225307520003</v>
      </c>
      <c r="G12" s="238">
        <f t="shared" si="0"/>
        <v>2790.7150080000001</v>
      </c>
      <c r="H12" s="238">
        <f t="shared" si="0"/>
        <v>2758.6378239999999</v>
      </c>
      <c r="I12" s="238">
        <f t="shared" si="0"/>
        <v>2694.4834560000004</v>
      </c>
      <c r="L12" s="100"/>
      <c r="M12" s="100"/>
      <c r="N12" s="100"/>
      <c r="O12" s="101" t="s">
        <v>171</v>
      </c>
      <c r="P12" s="101"/>
      <c r="Q12" s="101"/>
      <c r="R12" s="102" t="s">
        <v>172</v>
      </c>
      <c r="S12" s="101"/>
      <c r="T12" s="101"/>
      <c r="U12" s="101"/>
      <c r="V12" s="101"/>
    </row>
    <row r="13" spans="1:25" x14ac:dyDescent="0.15">
      <c r="A13" s="66" t="s">
        <v>23</v>
      </c>
      <c r="B13" s="67">
        <f t="shared" ref="B13:I13" si="1">SUM(B8:B12)</f>
        <v>30481</v>
      </c>
      <c r="C13" s="67">
        <f t="shared" si="1"/>
        <v>30756</v>
      </c>
      <c r="D13" s="67">
        <f t="shared" si="1"/>
        <v>28021</v>
      </c>
      <c r="E13" s="67">
        <f t="shared" si="1"/>
        <v>26104.465850721037</v>
      </c>
      <c r="F13" s="67">
        <f t="shared" si="1"/>
        <v>26800.927502994113</v>
      </c>
      <c r="G13" s="67">
        <f t="shared" si="1"/>
        <v>26343.339894006014</v>
      </c>
      <c r="H13" s="67">
        <f t="shared" si="1"/>
        <v>26616.611325518039</v>
      </c>
      <c r="I13" s="67">
        <f t="shared" si="1"/>
        <v>26748.473423818192</v>
      </c>
      <c r="L13" s="100" t="s">
        <v>173</v>
      </c>
      <c r="M13" s="100"/>
      <c r="N13" s="103" t="s">
        <v>174</v>
      </c>
      <c r="O13" s="104">
        <v>2014</v>
      </c>
      <c r="P13" s="104">
        <v>2015</v>
      </c>
      <c r="Q13" s="104">
        <v>2016</v>
      </c>
      <c r="R13" s="105">
        <v>2017</v>
      </c>
      <c r="S13" s="104">
        <v>2018</v>
      </c>
      <c r="T13" s="104">
        <v>2019</v>
      </c>
      <c r="U13" s="104">
        <v>2020</v>
      </c>
      <c r="V13" s="104">
        <v>2021</v>
      </c>
    </row>
    <row r="14" spans="1:25" x14ac:dyDescent="0.15">
      <c r="A14" s="36" t="s">
        <v>22</v>
      </c>
      <c r="B14" s="65">
        <f>'Consolidated I S 2016'!B15</f>
        <v>9604</v>
      </c>
      <c r="C14" s="65">
        <f>'Consolidated I S 2016'!C15</f>
        <v>8452</v>
      </c>
      <c r="D14" s="65">
        <f>'Consolidated I S 2016'!D15</f>
        <v>9691</v>
      </c>
      <c r="E14" s="65">
        <f>$E$17*R20</f>
        <v>8592.5010083410543</v>
      </c>
      <c r="F14" s="65">
        <f>E14*(1+S20)</f>
        <v>10864.722467451322</v>
      </c>
      <c r="G14" s="65">
        <f>F14*(1+T20)</f>
        <v>13808.999603009614</v>
      </c>
      <c r="H14" s="65">
        <f>G14*(1+U20)</f>
        <v>17506.617812921573</v>
      </c>
      <c r="I14" s="65">
        <f>H14*(1+V20)</f>
        <v>22193.754133127961</v>
      </c>
      <c r="L14" s="106" t="s">
        <v>175</v>
      </c>
      <c r="M14" s="107"/>
      <c r="N14" s="106"/>
      <c r="O14" s="106"/>
      <c r="P14" s="106"/>
      <c r="Q14" s="106"/>
      <c r="R14" s="106"/>
      <c r="S14" s="106"/>
      <c r="T14" s="106"/>
      <c r="U14" s="106"/>
      <c r="V14" s="106"/>
      <c r="Y14" s="25" t="s">
        <v>331</v>
      </c>
    </row>
    <row r="15" spans="1:25" ht="15" thickBot="1" x14ac:dyDescent="0.2">
      <c r="A15" s="38" t="s">
        <v>21</v>
      </c>
      <c r="B15" s="49">
        <f>'Consolidated I S 2016'!B16</f>
        <v>5557</v>
      </c>
      <c r="C15" s="49">
        <f>'Consolidated I S 2016'!C16</f>
        <v>5388</v>
      </c>
      <c r="D15" s="97">
        <f>'Consolidated I S 2016'!D16</f>
        <v>7104</v>
      </c>
      <c r="E15" s="49">
        <f>E17*R21</f>
        <v>5589.2907593450736</v>
      </c>
      <c r="F15" s="49">
        <f>F17*S21</f>
        <v>5912.0772812738142</v>
      </c>
      <c r="G15" s="49">
        <f>G17*T21</f>
        <v>6389.0588565155185</v>
      </c>
      <c r="H15" s="49">
        <f>H17*U21</f>
        <v>6353.8523482357241</v>
      </c>
      <c r="I15" s="49">
        <f>I17*V21</f>
        <v>6610.8773378004416</v>
      </c>
      <c r="L15" s="108"/>
      <c r="M15" s="36" t="s">
        <v>28</v>
      </c>
      <c r="N15" s="109" t="s">
        <v>177</v>
      </c>
      <c r="O15" s="239">
        <f t="shared" ref="O15:Q19" si="2">(B8/$B$17)</f>
        <v>0.18721037998146431</v>
      </c>
      <c r="P15" s="239">
        <f t="shared" si="2"/>
        <v>0.20351598702502316</v>
      </c>
      <c r="Q15" s="239">
        <f t="shared" si="2"/>
        <v>0.1816786376274328</v>
      </c>
      <c r="R15" s="252">
        <f>AVERAGE(O15:Q15)</f>
        <v>0.19080166821130673</v>
      </c>
      <c r="S15" s="252">
        <f t="shared" ref="S15:V15" si="3">AVERAGE(P15:R15)</f>
        <v>0.19199876428792093</v>
      </c>
      <c r="T15" s="252">
        <f t="shared" si="3"/>
        <v>0.18815969004222013</v>
      </c>
      <c r="U15" s="252">
        <f t="shared" si="3"/>
        <v>0.19032004084714926</v>
      </c>
      <c r="V15" s="252">
        <f t="shared" si="3"/>
        <v>0.1901594983924301</v>
      </c>
      <c r="Y15" s="25" t="s">
        <v>333</v>
      </c>
    </row>
    <row r="16" spans="1:25" ht="15" thickBot="1" x14ac:dyDescent="0.2">
      <c r="A16" s="38" t="s">
        <v>20</v>
      </c>
      <c r="B16" s="50">
        <f>B14-B15</f>
        <v>4047</v>
      </c>
      <c r="C16" s="50">
        <f>C14-C15</f>
        <v>3064</v>
      </c>
      <c r="D16" s="50">
        <f>D14-D15</f>
        <v>2587</v>
      </c>
      <c r="E16" s="50">
        <f>E14-E15</f>
        <v>3003.2102489959807</v>
      </c>
      <c r="F16" s="50">
        <f t="shared" ref="F16:I16" si="4">F14-F15</f>
        <v>4952.6451861775076</v>
      </c>
      <c r="G16" s="50">
        <f t="shared" si="4"/>
        <v>7419.940746494095</v>
      </c>
      <c r="H16" s="50">
        <f t="shared" si="4"/>
        <v>11152.76546468585</v>
      </c>
      <c r="I16" s="50">
        <f t="shared" si="4"/>
        <v>15582.87679532752</v>
      </c>
      <c r="L16" s="108"/>
      <c r="M16" s="36" t="s">
        <v>27</v>
      </c>
      <c r="N16" s="109" t="s">
        <v>177</v>
      </c>
      <c r="O16" s="239">
        <f t="shared" si="2"/>
        <v>0.16647358665430956</v>
      </c>
      <c r="P16" s="239">
        <f t="shared" si="2"/>
        <v>0.16994902687673771</v>
      </c>
      <c r="Q16" s="239">
        <f t="shared" si="2"/>
        <v>0.15659754402224282</v>
      </c>
      <c r="R16" s="252">
        <v>0.154</v>
      </c>
      <c r="S16" s="252">
        <v>0.14899999999999999</v>
      </c>
      <c r="T16" s="252">
        <v>0.14799999999999999</v>
      </c>
      <c r="U16" s="252">
        <v>0.14799999999999999</v>
      </c>
      <c r="V16" s="252">
        <v>0.14899999999999999</v>
      </c>
      <c r="Y16" s="25" t="s">
        <v>312</v>
      </c>
    </row>
    <row r="17" spans="1:32" ht="15" thickBot="1" x14ac:dyDescent="0.2">
      <c r="A17" s="38" t="s">
        <v>19</v>
      </c>
      <c r="B17" s="50">
        <f>B13+B16</f>
        <v>34528</v>
      </c>
      <c r="C17" s="50">
        <f>C13+C16</f>
        <v>33820</v>
      </c>
      <c r="D17" s="50">
        <f>D13+D16</f>
        <v>30608</v>
      </c>
      <c r="E17" s="50">
        <f>D17*(1+E18)</f>
        <v>32077.184000000001</v>
      </c>
      <c r="F17" s="50">
        <f t="shared" ref="F17:I17" si="5">E17*(1+F18)</f>
        <v>33087.615296000004</v>
      </c>
      <c r="G17" s="50">
        <f t="shared" si="5"/>
        <v>34308.548300422401</v>
      </c>
      <c r="H17" s="50">
        <f t="shared" si="5"/>
        <v>35354.959023585281</v>
      </c>
      <c r="I17" s="50">
        <f t="shared" si="5"/>
        <v>36415.607794292839</v>
      </c>
      <c r="L17" s="108"/>
      <c r="M17" s="36" t="s">
        <v>26</v>
      </c>
      <c r="N17" s="109" t="s">
        <v>177</v>
      </c>
      <c r="O17" s="239">
        <f t="shared" si="2"/>
        <v>9.603799814643188E-2</v>
      </c>
      <c r="P17" s="239">
        <f t="shared" si="2"/>
        <v>9.6153846153846159E-2</v>
      </c>
      <c r="Q17" s="239">
        <f t="shared" si="2"/>
        <v>9.2910101946246521E-2</v>
      </c>
      <c r="R17" s="252">
        <v>0.09</v>
      </c>
      <c r="S17" s="252">
        <v>8.8999999999999996E-2</v>
      </c>
      <c r="T17" s="252">
        <v>8.6999999999999994E-2</v>
      </c>
      <c r="U17" s="252">
        <v>8.6999999999999994E-2</v>
      </c>
      <c r="V17" s="252">
        <v>8.5000000000000006E-2</v>
      </c>
      <c r="Y17" s="25" t="s">
        <v>332</v>
      </c>
    </row>
    <row r="18" spans="1:32" x14ac:dyDescent="0.15">
      <c r="A18" s="36" t="s">
        <v>105</v>
      </c>
      <c r="B18" s="51">
        <f>(B17/34207)-1</f>
        <v>9.3840442014792025E-3</v>
      </c>
      <c r="C18" s="51">
        <f>(C17/B$17)-1</f>
        <v>-2.0505097312326193E-2</v>
      </c>
      <c r="D18" s="51">
        <f>(D17/C$17)-1</f>
        <v>-9.4973388527498481E-2</v>
      </c>
      <c r="E18" s="51">
        <f>R22</f>
        <v>4.8000000000000001E-2</v>
      </c>
      <c r="F18" s="51">
        <f>S22</f>
        <v>3.15E-2</v>
      </c>
      <c r="G18" s="51">
        <f>T22</f>
        <v>3.6900000000000002E-2</v>
      </c>
      <c r="H18" s="51">
        <f>U22</f>
        <v>3.0499999999999999E-2</v>
      </c>
      <c r="I18" s="51">
        <f>V22</f>
        <v>0.03</v>
      </c>
      <c r="J18" s="110"/>
      <c r="L18" s="108"/>
      <c r="M18" s="36" t="s">
        <v>25</v>
      </c>
      <c r="N18" s="109" t="s">
        <v>177</v>
      </c>
      <c r="O18" s="239">
        <f t="shared" si="2"/>
        <v>0.24226714550509731</v>
      </c>
      <c r="P18" s="239">
        <f t="shared" si="2"/>
        <v>0.27580514365152919</v>
      </c>
      <c r="Q18" s="239">
        <f t="shared" si="2"/>
        <v>0.28767956441149212</v>
      </c>
      <c r="R18" s="252">
        <v>0.28999999999999998</v>
      </c>
      <c r="S18" s="252">
        <v>0.29299999999999998</v>
      </c>
      <c r="T18" s="252">
        <v>0.29799999999999999</v>
      </c>
      <c r="U18" s="252">
        <v>0.29899999999999999</v>
      </c>
      <c r="V18" s="252">
        <v>0.3</v>
      </c>
    </row>
    <row r="19" spans="1:32" x14ac:dyDescent="0.15">
      <c r="A19" s="42" t="s">
        <v>18</v>
      </c>
      <c r="B19" s="43"/>
      <c r="C19" s="43"/>
      <c r="D19" s="43"/>
      <c r="E19" s="43"/>
      <c r="F19" s="43"/>
      <c r="G19" s="43"/>
      <c r="H19" s="43"/>
      <c r="I19" s="43"/>
      <c r="L19" s="108"/>
      <c r="M19" s="36" t="s">
        <v>24</v>
      </c>
      <c r="N19" s="109" t="s">
        <v>177</v>
      </c>
      <c r="O19" s="239">
        <f t="shared" si="2"/>
        <v>0.19080166821130676</v>
      </c>
      <c r="P19" s="239">
        <f t="shared" si="2"/>
        <v>0.14533132530120482</v>
      </c>
      <c r="Q19" s="239">
        <f t="shared" si="2"/>
        <v>9.2678405931417976E-2</v>
      </c>
      <c r="R19" s="252">
        <v>8.8999999999999996E-2</v>
      </c>
      <c r="S19" s="252">
        <v>8.6999999999999994E-2</v>
      </c>
      <c r="T19" s="252">
        <v>8.6999999999999994E-2</v>
      </c>
      <c r="U19" s="252">
        <v>8.5999999999999993E-2</v>
      </c>
      <c r="V19" s="252">
        <v>8.4000000000000005E-2</v>
      </c>
    </row>
    <row r="20" spans="1:32" x14ac:dyDescent="0.15">
      <c r="A20" s="76" t="s">
        <v>17</v>
      </c>
      <c r="B20" s="77">
        <f>'Consolidated I S 2016'!B21</f>
        <v>12691</v>
      </c>
      <c r="C20" s="77">
        <f>'Consolidated I S 2016'!C21</f>
        <v>12678</v>
      </c>
      <c r="D20" s="77">
        <f>'Consolidated I S 2016'!D21</f>
        <v>11647</v>
      </c>
      <c r="E20" s="77">
        <f t="shared" ref="E20:I27" si="6">E$29*R27</f>
        <v>12048.571418244757</v>
      </c>
      <c r="F20" s="77">
        <f t="shared" si="6"/>
        <v>12229.809664590444</v>
      </c>
      <c r="G20" s="77">
        <f t="shared" si="6"/>
        <v>13008.71623331993</v>
      </c>
      <c r="H20" s="77">
        <f t="shared" si="6"/>
        <v>13517.016378814149</v>
      </c>
      <c r="I20" s="77">
        <f t="shared" si="6"/>
        <v>14017.026278732006</v>
      </c>
      <c r="L20" s="108"/>
      <c r="M20" s="36" t="s">
        <v>22</v>
      </c>
      <c r="N20" s="109" t="s">
        <v>177</v>
      </c>
      <c r="O20" s="239">
        <f t="shared" ref="O20:Q21" si="7">(B14/$B$17)</f>
        <v>0.27815106580166821</v>
      </c>
      <c r="P20" s="239">
        <f t="shared" si="7"/>
        <v>0.24478683966635773</v>
      </c>
      <c r="Q20" s="239">
        <f t="shared" si="7"/>
        <v>0.28067075996292862</v>
      </c>
      <c r="R20" s="252">
        <f>AVERAGE(O20:Q20)</f>
        <v>0.26786955514365146</v>
      </c>
      <c r="S20" s="252">
        <f t="shared" ref="S20:V20" si="8">AVERAGE(P20:R20)</f>
        <v>0.26444238492431255</v>
      </c>
      <c r="T20" s="252">
        <f t="shared" si="8"/>
        <v>0.27099423334363087</v>
      </c>
      <c r="U20" s="252">
        <f t="shared" si="8"/>
        <v>0.26776872447053163</v>
      </c>
      <c r="V20" s="252">
        <f t="shared" si="8"/>
        <v>0.26773511424615837</v>
      </c>
      <c r="Y20" s="25" t="s">
        <v>307</v>
      </c>
    </row>
    <row r="21" spans="1:32" x14ac:dyDescent="0.15">
      <c r="A21" s="52" t="s">
        <v>16</v>
      </c>
      <c r="B21" s="47">
        <f>'Consolidated I S 2016'!B22</f>
        <v>2501</v>
      </c>
      <c r="C21" s="47">
        <f>'Consolidated I S 2016'!C22</f>
        <v>2576</v>
      </c>
      <c r="D21" s="47">
        <f>'Consolidated I S 2016'!D22</f>
        <v>2555</v>
      </c>
      <c r="E21" s="65">
        <f t="shared" si="6"/>
        <v>2490.2648869065401</v>
      </c>
      <c r="F21" s="65">
        <f t="shared" si="6"/>
        <v>2569.0089663871358</v>
      </c>
      <c r="G21" s="65">
        <f t="shared" si="6"/>
        <v>2759.7713725487965</v>
      </c>
      <c r="H21" s="65">
        <f t="shared" si="6"/>
        <v>2833.6749306737865</v>
      </c>
      <c r="I21" s="65">
        <f t="shared" si="6"/>
        <v>2952.3113852823585</v>
      </c>
      <c r="L21" s="108"/>
      <c r="M21" s="36" t="s">
        <v>21</v>
      </c>
      <c r="N21" s="109" t="s">
        <v>177</v>
      </c>
      <c r="O21" s="239">
        <f t="shared" si="7"/>
        <v>0.16094184430027803</v>
      </c>
      <c r="P21" s="239">
        <f t="shared" si="7"/>
        <v>0.15604726598702504</v>
      </c>
      <c r="Q21" s="239">
        <f t="shared" si="7"/>
        <v>0.20574606116774791</v>
      </c>
      <c r="R21" s="252">
        <f>AVERAGE(O21:Q21)</f>
        <v>0.17424505715168367</v>
      </c>
      <c r="S21" s="252">
        <f t="shared" ref="S21:V21" si="9">AVERAGE(P21:R21)</f>
        <v>0.17867946143548555</v>
      </c>
      <c r="T21" s="252">
        <f t="shared" si="9"/>
        <v>0.18622352658497235</v>
      </c>
      <c r="U21" s="252">
        <f t="shared" si="9"/>
        <v>0.17971601505738052</v>
      </c>
      <c r="V21" s="252">
        <f t="shared" si="9"/>
        <v>0.18153966769261279</v>
      </c>
      <c r="Y21" s="25" t="s">
        <v>306</v>
      </c>
    </row>
    <row r="22" spans="1:32" x14ac:dyDescent="0.15">
      <c r="A22" s="35" t="s">
        <v>15</v>
      </c>
      <c r="B22" s="47">
        <f>'Consolidated I S 2016'!B23</f>
        <v>549</v>
      </c>
      <c r="C22" s="47">
        <f>'Consolidated I S 2016'!C23</f>
        <v>557</v>
      </c>
      <c r="D22" s="47">
        <f>'Consolidated I S 2016'!D23</f>
        <v>457</v>
      </c>
      <c r="E22" s="65">
        <f t="shared" si="6"/>
        <v>506.88128490753428</v>
      </c>
      <c r="F22" s="65">
        <f t="shared" si="6"/>
        <v>509.40077226050175</v>
      </c>
      <c r="G22" s="65">
        <f t="shared" si="6"/>
        <v>532.83369648974076</v>
      </c>
      <c r="H22" s="65">
        <f t="shared" si="6"/>
        <v>561.7449299977842</v>
      </c>
      <c r="I22" s="65">
        <f t="shared" si="6"/>
        <v>580.13088330493838</v>
      </c>
      <c r="L22" s="108"/>
      <c r="M22" s="262" t="s">
        <v>176</v>
      </c>
      <c r="N22" s="109" t="s">
        <v>177</v>
      </c>
      <c r="O22" s="239">
        <f>(B17/34207)-1</f>
        <v>9.3840442014792025E-3</v>
      </c>
      <c r="P22" s="239">
        <f>(C17/B$17)-1</f>
        <v>-2.0505097312326193E-2</v>
      </c>
      <c r="Q22" s="239">
        <f>(D17/C$17)-1</f>
        <v>-9.4973388527498481E-2</v>
      </c>
      <c r="R22" s="252">
        <v>4.8000000000000001E-2</v>
      </c>
      <c r="S22" s="252">
        <v>3.15E-2</v>
      </c>
      <c r="T22" s="252">
        <v>3.6900000000000002E-2</v>
      </c>
      <c r="U22" s="252">
        <v>3.0499999999999999E-2</v>
      </c>
      <c r="V22" s="252">
        <v>0.03</v>
      </c>
    </row>
    <row r="23" spans="1:32" x14ac:dyDescent="0.15">
      <c r="A23" s="35" t="s">
        <v>14</v>
      </c>
      <c r="B23" s="47">
        <f>'Consolidated I S 2016'!B24</f>
        <v>779</v>
      </c>
      <c r="C23" s="47">
        <f>'Consolidated I S 2016'!C24</f>
        <v>806</v>
      </c>
      <c r="D23" s="47">
        <f>'Consolidated I S 2016'!D24</f>
        <v>809</v>
      </c>
      <c r="E23" s="65">
        <f t="shared" si="6"/>
        <v>781.44956507529969</v>
      </c>
      <c r="F23" s="65">
        <f t="shared" si="6"/>
        <v>808.12776121529146</v>
      </c>
      <c r="G23" s="65">
        <f t="shared" si="6"/>
        <v>869.48308290537682</v>
      </c>
      <c r="H23" s="65">
        <f t="shared" si="6"/>
        <v>891.14060078501097</v>
      </c>
      <c r="I23" s="65">
        <f t="shared" si="6"/>
        <v>929.10790201052635</v>
      </c>
      <c r="L23" s="108"/>
      <c r="M23" s="172" t="s">
        <v>167</v>
      </c>
      <c r="N23" s="114" t="s">
        <v>177</v>
      </c>
      <c r="O23" s="239"/>
      <c r="P23" s="239">
        <f>P22-O22</f>
        <v>-2.9889141513805395E-2</v>
      </c>
      <c r="Q23" s="239">
        <f t="shared" ref="Q23:V23" si="10">Q22-P22</f>
        <v>-7.4468291215172289E-2</v>
      </c>
      <c r="R23" s="252">
        <f t="shared" si="10"/>
        <v>0.14297338852749847</v>
      </c>
      <c r="S23" s="252">
        <f t="shared" si="10"/>
        <v>-1.6500000000000001E-2</v>
      </c>
      <c r="T23" s="252">
        <f t="shared" si="10"/>
        <v>5.400000000000002E-3</v>
      </c>
      <c r="U23" s="252">
        <f t="shared" si="10"/>
        <v>-6.4000000000000029E-3</v>
      </c>
      <c r="V23" s="252">
        <f t="shared" si="10"/>
        <v>-5.0000000000000044E-4</v>
      </c>
      <c r="Y23" s="25" t="s">
        <v>213</v>
      </c>
    </row>
    <row r="24" spans="1:32" x14ac:dyDescent="0.15">
      <c r="A24" s="35" t="s">
        <v>13</v>
      </c>
      <c r="B24" s="47">
        <f>'Consolidated I S 2016'!B25</f>
        <v>1337</v>
      </c>
      <c r="C24" s="47">
        <f>'Consolidated I S 2016'!C25</f>
        <v>991</v>
      </c>
      <c r="D24" s="47">
        <f>'Consolidated I S 2016'!D25</f>
        <v>998</v>
      </c>
      <c r="E24" s="65">
        <f t="shared" si="6"/>
        <v>1086.7199485830611</v>
      </c>
      <c r="F24" s="65">
        <f t="shared" si="6"/>
        <v>1038.0044793297793</v>
      </c>
      <c r="G24" s="65">
        <f t="shared" si="6"/>
        <v>1130.600764108869</v>
      </c>
      <c r="H24" s="65">
        <f t="shared" si="6"/>
        <v>1180.5271063512946</v>
      </c>
      <c r="I24" s="65">
        <f t="shared" si="6"/>
        <v>1210.8184303012952</v>
      </c>
      <c r="L24" s="108"/>
      <c r="M24" s="261" t="s">
        <v>178</v>
      </c>
      <c r="N24" s="109" t="s">
        <v>177</v>
      </c>
      <c r="O24" s="116">
        <f>(B17-B29)/B17</f>
        <v>0.35788345690454126</v>
      </c>
      <c r="P24" s="116">
        <f>(C17-C29)/C17</f>
        <v>0.25955056179775282</v>
      </c>
      <c r="Q24" s="116">
        <f>(D17-D29)/D17</f>
        <v>0.3366440146366963</v>
      </c>
      <c r="R24" s="252">
        <v>0.35299999999999998</v>
      </c>
      <c r="S24" s="252">
        <f>AVERAGE($O$24:$R$24)</f>
        <v>0.3267695083347476</v>
      </c>
      <c r="T24" s="252">
        <f t="shared" ref="T24:V24" si="11">AVERAGE($O$24:$R$24)</f>
        <v>0.3267695083347476</v>
      </c>
      <c r="U24" s="252">
        <f t="shared" si="11"/>
        <v>0.3267695083347476</v>
      </c>
      <c r="V24" s="252">
        <f t="shared" si="11"/>
        <v>0.3267695083347476</v>
      </c>
    </row>
    <row r="25" spans="1:32" x14ac:dyDescent="0.15">
      <c r="A25" s="35" t="s">
        <v>12</v>
      </c>
      <c r="B25" s="47">
        <f>'Consolidated I S 2016'!B26</f>
        <v>827</v>
      </c>
      <c r="C25" s="47">
        <f>'Consolidated I S 2016'!C26</f>
        <v>772</v>
      </c>
      <c r="D25" s="47">
        <f>'Consolidated I S 2016'!D26</f>
        <v>788</v>
      </c>
      <c r="E25" s="65">
        <f t="shared" si="6"/>
        <v>779.79423975179088</v>
      </c>
      <c r="F25" s="65">
        <f t="shared" si="6"/>
        <v>789.62060384198685</v>
      </c>
      <c r="G25" s="65">
        <f t="shared" si="6"/>
        <v>854.41113849046087</v>
      </c>
      <c r="H25" s="65">
        <f t="shared" si="6"/>
        <v>878.50753031536431</v>
      </c>
      <c r="I25" s="65">
        <f t="shared" si="6"/>
        <v>912.27662884895165</v>
      </c>
      <c r="L25" s="108"/>
      <c r="M25" s="262" t="s">
        <v>179</v>
      </c>
      <c r="N25" s="109" t="s">
        <v>177</v>
      </c>
      <c r="O25" s="240">
        <f t="shared" ref="O25:V25" si="12">B29/B17</f>
        <v>0.64211654309545874</v>
      </c>
      <c r="P25" s="240">
        <f t="shared" si="12"/>
        <v>0.74044943820224718</v>
      </c>
      <c r="Q25" s="240">
        <f t="shared" si="12"/>
        <v>0.66335598536330376</v>
      </c>
      <c r="R25" s="252">
        <f t="shared" si="12"/>
        <v>0.68197398888700322</v>
      </c>
      <c r="S25" s="252">
        <f t="shared" si="12"/>
        <v>0.68</v>
      </c>
      <c r="T25" s="252">
        <f t="shared" si="12"/>
        <v>0.68197398888700322</v>
      </c>
      <c r="U25" s="252">
        <f t="shared" si="12"/>
        <v>0.69499999999999995</v>
      </c>
      <c r="V25" s="252">
        <f t="shared" si="12"/>
        <v>0.7</v>
      </c>
    </row>
    <row r="26" spans="1:32" x14ac:dyDescent="0.15">
      <c r="A26" s="35" t="s">
        <v>11</v>
      </c>
      <c r="B26" s="47">
        <f>'Consolidated I S 2016'!B27</f>
        <v>902</v>
      </c>
      <c r="C26" s="47">
        <f>'Consolidated I S 2016'!C27</f>
        <v>963</v>
      </c>
      <c r="D26" s="47">
        <f>'Consolidated I S 2016'!D27</f>
        <v>882</v>
      </c>
      <c r="E26" s="65">
        <f t="shared" si="6"/>
        <v>893.83728404355406</v>
      </c>
      <c r="F26" s="65">
        <f t="shared" si="6"/>
        <v>919.32442877628648</v>
      </c>
      <c r="G26" s="65">
        <f t="shared" si="6"/>
        <v>956.01470603924122</v>
      </c>
      <c r="H26" s="65">
        <f t="shared" si="6"/>
        <v>1003.9904066516926</v>
      </c>
      <c r="I26" s="65">
        <f t="shared" si="6"/>
        <v>1041.5497599940581</v>
      </c>
      <c r="L26" s="108"/>
      <c r="M26" s="262"/>
      <c r="N26" s="109"/>
      <c r="O26" s="240"/>
      <c r="P26" s="240"/>
      <c r="Q26" s="240"/>
      <c r="R26" s="253"/>
      <c r="S26" s="253"/>
      <c r="T26" s="253"/>
      <c r="U26" s="253"/>
      <c r="V26" s="253"/>
      <c r="Y26" s="25" t="s">
        <v>217</v>
      </c>
      <c r="Z26" s="25" t="s">
        <v>218</v>
      </c>
    </row>
    <row r="27" spans="1:32" ht="15" thickBot="1" x14ac:dyDescent="0.2">
      <c r="A27" s="38" t="s">
        <v>10</v>
      </c>
      <c r="B27" s="49">
        <f>'Consolidated I S 2016'!B28</f>
        <v>2585</v>
      </c>
      <c r="C27" s="49">
        <f>'Consolidated I S 2016'!C28</f>
        <v>5699</v>
      </c>
      <c r="D27" s="49">
        <f>'Consolidated I S 2016'!D28</f>
        <v>2168</v>
      </c>
      <c r="E27" s="111">
        <f t="shared" si="6"/>
        <v>3288.2864972298166</v>
      </c>
      <c r="F27" s="111">
        <f t="shared" si="6"/>
        <v>3382.0496858702027</v>
      </c>
      <c r="G27" s="111">
        <f t="shared" si="6"/>
        <v>3517.0274334503911</v>
      </c>
      <c r="H27" s="111">
        <f t="shared" si="6"/>
        <v>3693.5224749252748</v>
      </c>
      <c r="I27" s="111">
        <f t="shared" si="6"/>
        <v>3831.6974164332705</v>
      </c>
      <c r="L27" s="36"/>
      <c r="M27" s="36" t="s">
        <v>17</v>
      </c>
      <c r="N27" s="109" t="s">
        <v>177</v>
      </c>
      <c r="O27" s="51">
        <f t="shared" ref="O27:Q34" si="13">B20/B$29</f>
        <v>0.57241441522709846</v>
      </c>
      <c r="P27" s="51">
        <f t="shared" si="13"/>
        <v>0.50626946729494449</v>
      </c>
      <c r="Q27" s="51">
        <f t="shared" si="13"/>
        <v>0.57363081166272656</v>
      </c>
      <c r="R27" s="252">
        <f t="shared" ref="R27:R32" si="14">AVERAGE(O27:Q27)</f>
        <v>0.55077156472825639</v>
      </c>
      <c r="S27" s="252">
        <f t="shared" ref="S27:V27" si="15">AVERAGE(P27:R27)</f>
        <v>0.54355728122864244</v>
      </c>
      <c r="T27" s="252">
        <f t="shared" si="15"/>
        <v>0.55598655253987517</v>
      </c>
      <c r="U27" s="252">
        <f t="shared" si="15"/>
        <v>0.55010513283225793</v>
      </c>
      <c r="V27" s="252">
        <f t="shared" si="15"/>
        <v>0.5498829888669251</v>
      </c>
      <c r="W27" s="36"/>
      <c r="X27" s="36"/>
      <c r="Y27" s="36"/>
      <c r="Z27" s="36"/>
      <c r="AA27" s="36"/>
      <c r="AB27" s="36"/>
      <c r="AC27" s="36"/>
      <c r="AD27" s="36"/>
      <c r="AE27" s="36"/>
      <c r="AF27" s="81"/>
    </row>
    <row r="28" spans="1:32" ht="29.25" thickBot="1" x14ac:dyDescent="0.2">
      <c r="A28" s="38" t="s">
        <v>9</v>
      </c>
      <c r="B28" s="50">
        <f>SUM(B21:B27)</f>
        <v>9480</v>
      </c>
      <c r="C28" s="50">
        <f t="shared" ref="C28:I28" si="16">SUM(C21:C27)</f>
        <v>12364</v>
      </c>
      <c r="D28" s="50">
        <f t="shared" si="16"/>
        <v>8657</v>
      </c>
      <c r="E28" s="113">
        <f t="shared" si="16"/>
        <v>9827.2337064975964</v>
      </c>
      <c r="F28" s="50">
        <f t="shared" si="16"/>
        <v>10015.536697681186</v>
      </c>
      <c r="G28" s="50">
        <f t="shared" si="16"/>
        <v>10620.142194032876</v>
      </c>
      <c r="H28" s="50">
        <f t="shared" si="16"/>
        <v>11043.107979700209</v>
      </c>
      <c r="I28" s="50">
        <f t="shared" si="16"/>
        <v>11457.892406175399</v>
      </c>
      <c r="L28" s="120"/>
      <c r="M28" s="120" t="s">
        <v>16</v>
      </c>
      <c r="N28" s="109" t="s">
        <v>177</v>
      </c>
      <c r="O28" s="51">
        <f t="shared" si="13"/>
        <v>0.11280501556086781</v>
      </c>
      <c r="P28" s="51">
        <f t="shared" si="13"/>
        <v>0.10286718313233767</v>
      </c>
      <c r="Q28" s="51">
        <f t="shared" si="13"/>
        <v>0.12583727344365642</v>
      </c>
      <c r="R28" s="252">
        <f t="shared" si="14"/>
        <v>0.1138364907122873</v>
      </c>
      <c r="S28" s="252">
        <f t="shared" ref="S28:V28" si="17">AVERAGE(P28:R28)</f>
        <v>0.11418031576276046</v>
      </c>
      <c r="T28" s="252">
        <f t="shared" si="17"/>
        <v>0.11795135997290139</v>
      </c>
      <c r="U28" s="252">
        <f t="shared" si="17"/>
        <v>0.11532272214931638</v>
      </c>
      <c r="V28" s="252">
        <f t="shared" si="17"/>
        <v>0.11581813262832608</v>
      </c>
      <c r="W28" s="120"/>
      <c r="X28" s="120"/>
      <c r="Y28" s="120"/>
      <c r="Z28" s="120"/>
      <c r="AA28" s="120"/>
      <c r="AB28" s="120"/>
      <c r="AC28" s="120"/>
      <c r="AD28" s="120"/>
      <c r="AE28" s="120"/>
    </row>
    <row r="29" spans="1:32" ht="15" thickBot="1" x14ac:dyDescent="0.2">
      <c r="A29" s="38" t="s">
        <v>8</v>
      </c>
      <c r="B29" s="50">
        <f>B20+B28</f>
        <v>22171</v>
      </c>
      <c r="C29" s="50">
        <f t="shared" ref="C29:D29" si="18">C20+C28</f>
        <v>25042</v>
      </c>
      <c r="D29" s="50">
        <f t="shared" si="18"/>
        <v>20304</v>
      </c>
      <c r="E29" s="50">
        <f>E17*E30</f>
        <v>21875.805124742357</v>
      </c>
      <c r="F29" s="50">
        <f t="shared" ref="F29:G29" si="19">F17*F30</f>
        <v>22499.578401280003</v>
      </c>
      <c r="G29" s="50">
        <f t="shared" si="19"/>
        <v>23397.537537361481</v>
      </c>
      <c r="H29" s="50">
        <f t="shared" ref="H29" si="20">H17*H30</f>
        <v>24571.696521391768</v>
      </c>
      <c r="I29" s="50">
        <f>I17*I30</f>
        <v>25490.925456004985</v>
      </c>
      <c r="L29" s="35"/>
      <c r="M29" s="35" t="s">
        <v>15</v>
      </c>
      <c r="N29" s="109" t="s">
        <v>177</v>
      </c>
      <c r="O29" s="51">
        <f t="shared" si="13"/>
        <v>2.4762076586531956E-2</v>
      </c>
      <c r="P29" s="51">
        <f t="shared" si="13"/>
        <v>2.2242632377605622E-2</v>
      </c>
      <c r="Q29" s="51">
        <f t="shared" si="13"/>
        <v>2.2507880220646179E-2</v>
      </c>
      <c r="R29" s="252">
        <f t="shared" si="14"/>
        <v>2.3170863061594587E-2</v>
      </c>
      <c r="S29" s="252">
        <f t="shared" ref="S29:V29" si="21">AVERAGE(P29:R29)</f>
        <v>2.2640458553282131E-2</v>
      </c>
      <c r="T29" s="252">
        <f t="shared" si="21"/>
        <v>2.2773067278507631E-2</v>
      </c>
      <c r="U29" s="252">
        <f t="shared" si="21"/>
        <v>2.2861462964461451E-2</v>
      </c>
      <c r="V29" s="252">
        <f t="shared" si="21"/>
        <v>2.2758329598750404E-2</v>
      </c>
      <c r="W29" s="35"/>
      <c r="X29" s="35"/>
      <c r="Y29" s="35"/>
      <c r="Z29" s="35"/>
      <c r="AA29" s="35"/>
      <c r="AB29" s="35"/>
      <c r="AC29" s="35"/>
      <c r="AD29" s="35"/>
      <c r="AE29" s="35"/>
    </row>
    <row r="30" spans="1:32" x14ac:dyDescent="0.15">
      <c r="A30" s="36" t="s">
        <v>214</v>
      </c>
      <c r="B30" s="117">
        <f>B29/B17</f>
        <v>0.64211654309545874</v>
      </c>
      <c r="C30" s="117">
        <f>C29/C17</f>
        <v>0.74044943820224718</v>
      </c>
      <c r="D30" s="117">
        <f>D29/D17</f>
        <v>0.66335598536330376</v>
      </c>
      <c r="E30" s="117">
        <f>AVERAGE($B$30:$D$30)</f>
        <v>0.68197398888700322</v>
      </c>
      <c r="F30" s="117">
        <v>0.68</v>
      </c>
      <c r="G30" s="117">
        <f t="shared" ref="G30" si="22">AVERAGE($B$30:$D$30)</f>
        <v>0.68197398888700322</v>
      </c>
      <c r="H30" s="117">
        <v>0.69499999999999995</v>
      </c>
      <c r="I30" s="117">
        <v>0.7</v>
      </c>
      <c r="L30" s="35"/>
      <c r="M30" s="35" t="s">
        <v>14</v>
      </c>
      <c r="N30" s="109" t="s">
        <v>177</v>
      </c>
      <c r="O30" s="51">
        <f t="shared" si="13"/>
        <v>3.5135988453385052E-2</v>
      </c>
      <c r="P30" s="51">
        <f t="shared" si="13"/>
        <v>3.2185927641562175E-2</v>
      </c>
      <c r="Q30" s="51">
        <f t="shared" si="13"/>
        <v>3.9844365642237985E-2</v>
      </c>
      <c r="R30" s="252">
        <f t="shared" si="14"/>
        <v>3.5722093912395066E-2</v>
      </c>
      <c r="S30" s="252">
        <f t="shared" ref="S30:V30" si="23">AVERAGE(P30:R30)</f>
        <v>3.5917462398731746E-2</v>
      </c>
      <c r="T30" s="252">
        <f t="shared" si="23"/>
        <v>3.7161307317788266E-2</v>
      </c>
      <c r="U30" s="252">
        <f t="shared" si="23"/>
        <v>3.6266954542971692E-2</v>
      </c>
      <c r="V30" s="252">
        <f t="shared" si="23"/>
        <v>3.6448574753163904E-2</v>
      </c>
      <c r="W30" s="35"/>
      <c r="X30" s="35"/>
      <c r="Y30" s="35"/>
      <c r="Z30" s="35"/>
      <c r="AA30" s="35"/>
      <c r="AB30" s="35"/>
      <c r="AC30" s="35"/>
      <c r="AD30" s="35"/>
      <c r="AE30" s="35"/>
    </row>
    <row r="31" spans="1:32" x14ac:dyDescent="0.15">
      <c r="A31" s="35" t="s">
        <v>102</v>
      </c>
      <c r="B31" s="48">
        <f>B17-B29</f>
        <v>12357</v>
      </c>
      <c r="C31" s="48">
        <f t="shared" ref="C31" si="24">C17-C29</f>
        <v>8778</v>
      </c>
      <c r="D31" s="48">
        <f>D17-D29</f>
        <v>10304</v>
      </c>
      <c r="E31" s="48">
        <f>E17-E29</f>
        <v>10201.378875257644</v>
      </c>
      <c r="F31" s="48">
        <f t="shared" ref="F31:G31" si="25">F17-F29</f>
        <v>10588.03689472</v>
      </c>
      <c r="G31" s="48">
        <f t="shared" si="25"/>
        <v>10911.01076306092</v>
      </c>
      <c r="H31" s="48">
        <f t="shared" ref="H31:I31" si="26">H17-H29</f>
        <v>10783.262502193513</v>
      </c>
      <c r="I31" s="48">
        <f t="shared" si="26"/>
        <v>10924.682338287854</v>
      </c>
      <c r="L31" s="35"/>
      <c r="M31" s="35" t="s">
        <v>13</v>
      </c>
      <c r="N31" s="109" t="s">
        <v>177</v>
      </c>
      <c r="O31" s="51">
        <f t="shared" si="13"/>
        <v>6.0304000721663434E-2</v>
      </c>
      <c r="P31" s="51">
        <f t="shared" si="13"/>
        <v>3.9573516492292946E-2</v>
      </c>
      <c r="Q31" s="51">
        <f t="shared" si="13"/>
        <v>4.9152876280535857E-2</v>
      </c>
      <c r="R31" s="252">
        <f t="shared" si="14"/>
        <v>4.9676797831497414E-2</v>
      </c>
      <c r="S31" s="252">
        <f t="shared" ref="S31:V31" si="27">AVERAGE(P31:R31)</f>
        <v>4.6134396868108739E-2</v>
      </c>
      <c r="T31" s="252">
        <f t="shared" si="27"/>
        <v>4.8321356993380672E-2</v>
      </c>
      <c r="U31" s="252">
        <f t="shared" si="27"/>
        <v>4.8044183897662275E-2</v>
      </c>
      <c r="V31" s="252">
        <f t="shared" si="27"/>
        <v>4.7499979253050557E-2</v>
      </c>
      <c r="W31" s="35"/>
      <c r="X31" s="35"/>
      <c r="Y31" s="35"/>
      <c r="Z31" s="35"/>
      <c r="AA31" s="35"/>
      <c r="AB31" s="35"/>
      <c r="AC31" s="35"/>
      <c r="AD31" s="35"/>
      <c r="AE31" s="35"/>
    </row>
    <row r="32" spans="1:32" x14ac:dyDescent="0.15">
      <c r="A32" s="35" t="s">
        <v>324</v>
      </c>
      <c r="B32" s="119">
        <f>B31/B17</f>
        <v>0.35788345690454126</v>
      </c>
      <c r="C32" s="119">
        <f t="shared" ref="C32:D32" si="28">C31/C17</f>
        <v>0.25955056179775282</v>
      </c>
      <c r="D32" s="119">
        <f t="shared" si="28"/>
        <v>0.3366440146366963</v>
      </c>
      <c r="E32" s="51">
        <f>E31/E17</f>
        <v>0.31802601111299683</v>
      </c>
      <c r="F32" s="51">
        <f>F31/F17</f>
        <v>0.31999999999999995</v>
      </c>
      <c r="G32" s="51">
        <f t="shared" ref="G32" si="29">G31/G17</f>
        <v>0.31802601111299672</v>
      </c>
      <c r="H32" s="51">
        <f t="shared" ref="H32" si="30">H31/H17</f>
        <v>0.30500000000000005</v>
      </c>
      <c r="I32" s="51">
        <f t="shared" ref="I32" si="31">I31/I17</f>
        <v>0.30000000000000004</v>
      </c>
      <c r="L32" s="35"/>
      <c r="M32" s="35" t="s">
        <v>12</v>
      </c>
      <c r="N32" s="109" t="s">
        <v>177</v>
      </c>
      <c r="O32" s="51">
        <f t="shared" si="13"/>
        <v>3.7300978756032659E-2</v>
      </c>
      <c r="P32" s="51">
        <f t="shared" si="13"/>
        <v>3.082820860953598E-2</v>
      </c>
      <c r="Q32" s="51">
        <f t="shared" si="13"/>
        <v>3.8810086682427108E-2</v>
      </c>
      <c r="R32" s="252">
        <f t="shared" si="14"/>
        <v>3.5646424682665247E-2</v>
      </c>
      <c r="S32" s="252">
        <f t="shared" ref="S32:V32" si="32">AVERAGE(P32:R32)</f>
        <v>3.509490665820944E-2</v>
      </c>
      <c r="T32" s="252">
        <f t="shared" si="32"/>
        <v>3.6517139341100596E-2</v>
      </c>
      <c r="U32" s="252">
        <f t="shared" si="32"/>
        <v>3.5752823560658425E-2</v>
      </c>
      <c r="V32" s="252">
        <f t="shared" si="32"/>
        <v>3.5788289853322823E-2</v>
      </c>
      <c r="W32" s="35"/>
      <c r="X32" s="35"/>
      <c r="Y32" s="35"/>
      <c r="Z32" s="35"/>
      <c r="AA32" s="35"/>
      <c r="AB32" s="35"/>
      <c r="AC32" s="35"/>
      <c r="AD32" s="35"/>
      <c r="AE32" s="35"/>
    </row>
    <row r="33" spans="1:32" ht="15" thickBot="1" x14ac:dyDescent="0.2">
      <c r="A33" s="38" t="s">
        <v>7</v>
      </c>
      <c r="B33" s="49">
        <f>'Consolidated I S 2016'!B33</f>
        <v>3880</v>
      </c>
      <c r="C33" s="49">
        <f>'Consolidated I S 2016'!C33</f>
        <v>2695</v>
      </c>
      <c r="D33" s="49">
        <f>'Consolidated I S 2016'!D33</f>
        <v>2906</v>
      </c>
      <c r="E33" s="49">
        <f>5000</f>
        <v>5000</v>
      </c>
      <c r="F33" s="49">
        <f>F31*F34</f>
        <v>2223.4877478911999</v>
      </c>
      <c r="G33" s="49">
        <f t="shared" ref="G33:I33" si="33">G31*G34</f>
        <v>2291.3122602427929</v>
      </c>
      <c r="H33" s="49">
        <f t="shared" si="33"/>
        <v>2264.4851254606374</v>
      </c>
      <c r="I33" s="49">
        <f t="shared" si="33"/>
        <v>2294.1832910404491</v>
      </c>
      <c r="J33" s="230"/>
      <c r="L33" s="35"/>
      <c r="M33" s="35" t="s">
        <v>11</v>
      </c>
      <c r="N33" s="109" t="s">
        <v>177</v>
      </c>
      <c r="O33" s="51">
        <f t="shared" si="13"/>
        <v>4.0683776103919538E-2</v>
      </c>
      <c r="P33" s="51">
        <f t="shared" si="13"/>
        <v>3.8455394936506668E-2</v>
      </c>
      <c r="Q33" s="51">
        <f t="shared" si="13"/>
        <v>4.3439716312056738E-2</v>
      </c>
      <c r="R33" s="252">
        <f t="shared" ref="R33:S34" si="34">AVERAGE($O33:$Q33)</f>
        <v>4.0859629117494307E-2</v>
      </c>
      <c r="S33" s="252">
        <f t="shared" si="34"/>
        <v>4.0859629117494307E-2</v>
      </c>
      <c r="T33" s="252">
        <f t="shared" ref="T33:V34" si="35">AVERAGE($O33:$Q33)</f>
        <v>4.0859629117494307E-2</v>
      </c>
      <c r="U33" s="252">
        <f t="shared" si="35"/>
        <v>4.0859629117494307E-2</v>
      </c>
      <c r="V33" s="252">
        <f t="shared" si="35"/>
        <v>4.0859629117494307E-2</v>
      </c>
      <c r="W33" s="35"/>
      <c r="X33" s="35"/>
      <c r="Y33" s="35"/>
      <c r="Z33" s="35"/>
      <c r="AA33" s="35"/>
      <c r="AB33" s="35"/>
      <c r="AC33" s="35"/>
      <c r="AD33" s="35"/>
      <c r="AE33" s="35"/>
      <c r="AF33" s="81"/>
    </row>
    <row r="34" spans="1:32" x14ac:dyDescent="0.15">
      <c r="A34" s="121" t="s">
        <v>142</v>
      </c>
      <c r="B34" s="122">
        <v>0.314</v>
      </c>
      <c r="C34" s="122">
        <v>0.307</v>
      </c>
      <c r="D34" s="122">
        <v>0.28199999999999997</v>
      </c>
      <c r="E34" s="122">
        <f>AVERAGE(B34:D34)</f>
        <v>0.30099999999999999</v>
      </c>
      <c r="F34" s="122">
        <f>$N$9</f>
        <v>0.21</v>
      </c>
      <c r="G34" s="122">
        <f>$N$9</f>
        <v>0.21</v>
      </c>
      <c r="H34" s="122">
        <f>$N$9</f>
        <v>0.21</v>
      </c>
      <c r="I34" s="122">
        <f>$N$9</f>
        <v>0.21</v>
      </c>
      <c r="J34" s="25" t="s">
        <v>216</v>
      </c>
      <c r="L34" s="36"/>
      <c r="M34" s="36" t="s">
        <v>10</v>
      </c>
      <c r="N34" s="109" t="s">
        <v>177</v>
      </c>
      <c r="O34" s="51">
        <f t="shared" si="13"/>
        <v>0.1165937485905011</v>
      </c>
      <c r="P34" s="51">
        <f t="shared" si="13"/>
        <v>0.22757766951521444</v>
      </c>
      <c r="Q34" s="51">
        <f t="shared" si="13"/>
        <v>0.10677698975571316</v>
      </c>
      <c r="R34" s="252">
        <f t="shared" si="34"/>
        <v>0.15031613595380958</v>
      </c>
      <c r="S34" s="252">
        <f t="shared" si="34"/>
        <v>0.15031613595380958</v>
      </c>
      <c r="T34" s="252">
        <f t="shared" si="35"/>
        <v>0.15031613595380958</v>
      </c>
      <c r="U34" s="252">
        <f t="shared" si="35"/>
        <v>0.15031613595380958</v>
      </c>
      <c r="V34" s="252">
        <f t="shared" si="35"/>
        <v>0.15031613595380958</v>
      </c>
      <c r="W34" s="36"/>
      <c r="X34" s="36"/>
      <c r="Y34" s="36"/>
      <c r="Z34" s="36"/>
      <c r="AA34" s="36"/>
      <c r="AB34" s="36"/>
      <c r="AC34" s="36"/>
      <c r="AD34" s="36"/>
      <c r="AE34" s="36"/>
    </row>
    <row r="35" spans="1:32" x14ac:dyDescent="0.15">
      <c r="A35" s="35" t="s">
        <v>6</v>
      </c>
      <c r="B35" s="48">
        <f>B31-B33</f>
        <v>8477</v>
      </c>
      <c r="C35" s="48">
        <f>C31-C33</f>
        <v>6083</v>
      </c>
      <c r="D35" s="48">
        <f>D31-D33</f>
        <v>7398</v>
      </c>
      <c r="E35" s="48">
        <f>E31-E33</f>
        <v>5201.3788752576438</v>
      </c>
      <c r="F35" s="48">
        <f>F31-F33</f>
        <v>8364.5491468288001</v>
      </c>
      <c r="G35" s="48">
        <f t="shared" ref="G35:I35" si="36">G31-G33</f>
        <v>8619.6985028181261</v>
      </c>
      <c r="H35" s="48">
        <f t="shared" si="36"/>
        <v>8518.7773767328763</v>
      </c>
      <c r="I35" s="48">
        <f t="shared" si="36"/>
        <v>8630.4990472474055</v>
      </c>
      <c r="L35" s="108"/>
      <c r="M35" s="262"/>
      <c r="N35" s="109"/>
      <c r="O35" s="123"/>
      <c r="P35" s="123"/>
      <c r="Q35" s="123"/>
      <c r="R35" s="227"/>
      <c r="S35" s="227"/>
      <c r="T35" s="227"/>
      <c r="U35" s="227"/>
      <c r="V35" s="227"/>
    </row>
    <row r="36" spans="1:32" ht="15" thickBot="1" x14ac:dyDescent="0.2">
      <c r="A36" s="38" t="s">
        <v>5</v>
      </c>
      <c r="B36" s="49">
        <f>'Consolidated I S 2016'!B35</f>
        <v>400</v>
      </c>
      <c r="C36" s="49">
        <f>'Consolidated I S 2016'!C35</f>
        <v>515</v>
      </c>
      <c r="D36" s="49">
        <f>'Consolidated I S 2016'!D35</f>
        <v>311</v>
      </c>
      <c r="E36" s="49">
        <f>AVERAGE($B$36:$D$36)</f>
        <v>408.66666666666669</v>
      </c>
      <c r="F36" s="49">
        <f t="shared" ref="F36:I36" si="37">AVERAGE($B$36:$D$36)</f>
        <v>408.66666666666669</v>
      </c>
      <c r="G36" s="49">
        <f t="shared" si="37"/>
        <v>408.66666666666669</v>
      </c>
      <c r="H36" s="49">
        <f t="shared" si="37"/>
        <v>408.66666666666669</v>
      </c>
      <c r="I36" s="49">
        <f t="shared" si="37"/>
        <v>408.66666666666669</v>
      </c>
      <c r="L36" s="108"/>
      <c r="M36" s="262" t="s">
        <v>180</v>
      </c>
      <c r="N36" s="109" t="s">
        <v>181</v>
      </c>
      <c r="O36" s="124"/>
      <c r="P36" s="124">
        <v>1030</v>
      </c>
      <c r="Q36" s="124">
        <v>1179</v>
      </c>
      <c r="R36" s="254">
        <v>133</v>
      </c>
      <c r="S36" s="254">
        <v>113</v>
      </c>
      <c r="T36" s="254">
        <v>79</v>
      </c>
      <c r="U36" s="254">
        <v>29</v>
      </c>
      <c r="V36" s="254">
        <v>19</v>
      </c>
      <c r="Y36" s="25" t="s">
        <v>206</v>
      </c>
      <c r="Z36" s="25" t="s">
        <v>334</v>
      </c>
    </row>
    <row r="37" spans="1:32" ht="15" thickBot="1" x14ac:dyDescent="0.2">
      <c r="A37" s="54" t="s">
        <v>4</v>
      </c>
      <c r="B37" s="55">
        <f>B35-B36</f>
        <v>8077</v>
      </c>
      <c r="C37" s="55">
        <f t="shared" ref="C37:D37" si="38">C35-C36</f>
        <v>5568</v>
      </c>
      <c r="D37" s="55">
        <f t="shared" si="38"/>
        <v>7087</v>
      </c>
      <c r="E37" s="55">
        <f>E35-E36</f>
        <v>4792.7122085909768</v>
      </c>
      <c r="F37" s="55">
        <f t="shared" ref="F37" si="39">F35-F36</f>
        <v>7955.8824801621331</v>
      </c>
      <c r="G37" s="55">
        <f>G35-G36</f>
        <v>8211.0318361514601</v>
      </c>
      <c r="H37" s="55">
        <f>H35-H36</f>
        <v>8110.1107100662093</v>
      </c>
      <c r="I37" s="55">
        <f>I35-I36</f>
        <v>8221.8323805807395</v>
      </c>
      <c r="M37" s="265" t="s">
        <v>182</v>
      </c>
      <c r="N37" s="109" t="s">
        <v>181</v>
      </c>
      <c r="O37" s="125"/>
      <c r="P37" s="125">
        <v>3657</v>
      </c>
      <c r="Q37" s="125">
        <v>3666</v>
      </c>
      <c r="R37" s="254">
        <f>AVERAGE(P37:Q37)</f>
        <v>3661.5</v>
      </c>
      <c r="S37" s="254">
        <f t="shared" ref="S37:V37" si="40">AVERAGE(Q37:R37)</f>
        <v>3663.75</v>
      </c>
      <c r="T37" s="254">
        <f t="shared" si="40"/>
        <v>3662.625</v>
      </c>
      <c r="U37" s="254">
        <f t="shared" si="40"/>
        <v>3663.1875</v>
      </c>
      <c r="V37" s="254">
        <f t="shared" si="40"/>
        <v>3662.90625</v>
      </c>
    </row>
    <row r="38" spans="1:32" x14ac:dyDescent="0.15">
      <c r="A38" s="44" t="s">
        <v>3</v>
      </c>
      <c r="B38" s="35"/>
      <c r="C38" s="35"/>
      <c r="D38" s="35"/>
      <c r="E38" s="35"/>
      <c r="F38" s="35"/>
      <c r="G38" s="35"/>
      <c r="H38" s="35"/>
      <c r="I38" s="35"/>
      <c r="M38" s="262"/>
      <c r="R38" s="227"/>
      <c r="S38" s="227"/>
      <c r="T38" s="227"/>
      <c r="U38" s="227"/>
      <c r="V38" s="227"/>
    </row>
    <row r="39" spans="1:32" x14ac:dyDescent="0.15">
      <c r="A39" s="35" t="s">
        <v>1</v>
      </c>
      <c r="B39" s="45">
        <f>'Consolidated I S 2016'!B38</f>
        <v>17.55</v>
      </c>
      <c r="C39" s="45">
        <f>'Consolidated I S 2016'!C38</f>
        <v>12.35</v>
      </c>
      <c r="D39" s="45">
        <f>'Consolidated I S 2016'!D38</f>
        <v>16.53</v>
      </c>
      <c r="E39" s="45">
        <f>E37/E42</f>
        <v>10.768526532184641</v>
      </c>
      <c r="F39" s="45">
        <f t="shared" ref="F39:I39" si="41">F37/F42</f>
        <v>18.062849656027648</v>
      </c>
      <c r="G39" s="45">
        <f t="shared" si="41"/>
        <v>18.762037150046076</v>
      </c>
      <c r="H39" s="45">
        <f t="shared" si="41"/>
        <v>18.388008742109619</v>
      </c>
      <c r="I39" s="45">
        <f t="shared" si="41"/>
        <v>18.698014327224399</v>
      </c>
      <c r="M39" s="262" t="s">
        <v>183</v>
      </c>
      <c r="N39" s="109" t="s">
        <v>177</v>
      </c>
      <c r="O39" s="110">
        <f>-B115/B72</f>
        <v>0.16791688299288063</v>
      </c>
      <c r="P39" s="110">
        <f>-C115/C72</f>
        <v>0.16827991928036393</v>
      </c>
      <c r="Q39" s="110">
        <f>-D115/D72</f>
        <v>0.19333530774356641</v>
      </c>
      <c r="R39" s="252">
        <f>AVERAGE($O39:$Q39)</f>
        <v>0.17651070333893701</v>
      </c>
      <c r="S39" s="252">
        <f t="shared" ref="S39:V39" si="42">AVERAGE($O39:$Q39)</f>
        <v>0.17651070333893701</v>
      </c>
      <c r="T39" s="252">
        <f t="shared" si="42"/>
        <v>0.17651070333893701</v>
      </c>
      <c r="U39" s="252">
        <f t="shared" si="42"/>
        <v>0.17651070333893701</v>
      </c>
      <c r="V39" s="252">
        <f t="shared" si="42"/>
        <v>0.17651070333893701</v>
      </c>
      <c r="Y39" s="25" t="s">
        <v>335</v>
      </c>
      <c r="Z39" s="110"/>
    </row>
    <row r="40" spans="1:32" x14ac:dyDescent="0.15">
      <c r="A40" s="35" t="s">
        <v>0</v>
      </c>
      <c r="B40" s="56">
        <f>'Consolidated I S 2016'!B39</f>
        <v>17.07</v>
      </c>
      <c r="C40" s="56">
        <f>'Consolidated I S 2016'!C39</f>
        <v>12.14</v>
      </c>
      <c r="D40" s="56">
        <f>'Consolidated I S 2016'!D39</f>
        <v>16.29</v>
      </c>
      <c r="E40" s="45">
        <f>E37/E43</f>
        <v>10.518791883658592</v>
      </c>
      <c r="F40" s="45">
        <f t="shared" ref="F40:I40" si="43">F37/F43</f>
        <v>17.688473893641103</v>
      </c>
      <c r="G40" s="45">
        <f t="shared" si="43"/>
        <v>18.375898046855212</v>
      </c>
      <c r="H40" s="45">
        <f t="shared" si="43"/>
        <v>17.992505416641226</v>
      </c>
      <c r="I40" s="45">
        <f t="shared" si="43"/>
        <v>18.306481044207203</v>
      </c>
      <c r="M40" s="262"/>
      <c r="N40" s="109"/>
      <c r="R40" s="255"/>
      <c r="S40" s="255"/>
      <c r="T40" s="255"/>
      <c r="U40" s="255"/>
      <c r="V40" s="255"/>
      <c r="Y40" s="25" t="s">
        <v>204</v>
      </c>
      <c r="AA40" s="25" t="s">
        <v>205</v>
      </c>
      <c r="AC40" s="25" t="s">
        <v>207</v>
      </c>
    </row>
    <row r="41" spans="1:32" x14ac:dyDescent="0.15">
      <c r="A41" s="44" t="s">
        <v>2</v>
      </c>
      <c r="B41" s="183"/>
      <c r="C41" s="35"/>
      <c r="D41" s="35"/>
      <c r="E41" s="35"/>
      <c r="F41" s="35"/>
      <c r="G41" s="35"/>
      <c r="H41" s="35"/>
      <c r="I41" s="35"/>
      <c r="M41" s="266" t="s">
        <v>184</v>
      </c>
      <c r="N41" s="109" t="s">
        <v>181</v>
      </c>
      <c r="Q41" s="127"/>
      <c r="R41" s="248">
        <f>D72</f>
        <v>189086</v>
      </c>
      <c r="S41" s="248">
        <f>R43</f>
        <v>155710.29714845377</v>
      </c>
      <c r="T41" s="248">
        <f t="shared" ref="T41:V41" si="44">S43</f>
        <v>128225.76308166533</v>
      </c>
      <c r="U41" s="248">
        <f t="shared" si="44"/>
        <v>105592.54345394867</v>
      </c>
      <c r="V41" s="248">
        <f t="shared" si="44"/>
        <v>86954.32934154493</v>
      </c>
    </row>
    <row r="42" spans="1:32" x14ac:dyDescent="0.15">
      <c r="A42" s="35" t="s">
        <v>1</v>
      </c>
      <c r="B42" s="56">
        <f>'Consolidated I S 2016'!B41</f>
        <v>458.9</v>
      </c>
      <c r="C42" s="56">
        <f>'Consolidated I S 2016'!C41</f>
        <v>448.9</v>
      </c>
      <c r="D42" s="56">
        <f>'Consolidated I S 2016'!D41</f>
        <v>427.4</v>
      </c>
      <c r="E42" s="56">
        <f>AVERAGE(B42:D42)</f>
        <v>445.06666666666661</v>
      </c>
      <c r="F42" s="56">
        <f t="shared" ref="F42:I42" si="45">AVERAGE(C42:E42)</f>
        <v>440.45555555555552</v>
      </c>
      <c r="G42" s="56">
        <f t="shared" si="45"/>
        <v>437.64074074074068</v>
      </c>
      <c r="H42" s="56">
        <f t="shared" si="45"/>
        <v>441.05432098765431</v>
      </c>
      <c r="I42" s="56">
        <f t="shared" si="45"/>
        <v>439.71687242798356</v>
      </c>
      <c r="M42" s="262" t="s">
        <v>185</v>
      </c>
      <c r="N42" s="130" t="s">
        <v>181</v>
      </c>
      <c r="R42" s="249">
        <f>-R41*R39</f>
        <v>-33375.702851546244</v>
      </c>
      <c r="S42" s="249">
        <f t="shared" ref="S42:V42" si="46">-S41*S39</f>
        <v>-27484.534066788452</v>
      </c>
      <c r="T42" s="249">
        <f t="shared" si="46"/>
        <v>-22633.219627716651</v>
      </c>
      <c r="U42" s="249">
        <f t="shared" si="46"/>
        <v>-18638.214112403748</v>
      </c>
      <c r="V42" s="249">
        <f t="shared" si="46"/>
        <v>-15348.369830441663</v>
      </c>
    </row>
    <row r="43" spans="1:32" ht="15" thickBot="1" x14ac:dyDescent="0.2">
      <c r="A43" s="38" t="s">
        <v>0</v>
      </c>
      <c r="B43" s="58">
        <f>'Consolidated I S 2016'!B42</f>
        <v>473.2</v>
      </c>
      <c r="C43" s="58">
        <f>'Consolidated I S 2016'!C42</f>
        <v>458.6</v>
      </c>
      <c r="D43" s="58">
        <f>'Consolidated I S 2016'!D42</f>
        <v>435.1</v>
      </c>
      <c r="E43" s="58">
        <f>AVERAGE(B43:D43)</f>
        <v>455.63333333333338</v>
      </c>
      <c r="F43" s="58">
        <f t="shared" ref="F43:I43" si="47">AVERAGE(C43:E43)</f>
        <v>449.77777777777783</v>
      </c>
      <c r="G43" s="58">
        <f t="shared" si="47"/>
        <v>446.83703703703708</v>
      </c>
      <c r="H43" s="58">
        <f t="shared" si="47"/>
        <v>450.74938271604947</v>
      </c>
      <c r="I43" s="58">
        <f t="shared" si="47"/>
        <v>449.12139917695481</v>
      </c>
      <c r="M43" s="267" t="s">
        <v>186</v>
      </c>
      <c r="N43" s="109" t="s">
        <v>181</v>
      </c>
      <c r="O43" s="131"/>
      <c r="P43" s="131"/>
      <c r="Q43" s="131"/>
      <c r="R43" s="248">
        <f>R41+R42</f>
        <v>155710.29714845377</v>
      </c>
      <c r="S43" s="248">
        <f t="shared" ref="S43:V43" si="48">S41+S42</f>
        <v>128225.76308166533</v>
      </c>
      <c r="T43" s="248">
        <f t="shared" si="48"/>
        <v>105592.54345394867</v>
      </c>
      <c r="U43" s="248">
        <f t="shared" si="48"/>
        <v>86954.32934154493</v>
      </c>
      <c r="V43" s="248">
        <f t="shared" si="48"/>
        <v>71605.959511103269</v>
      </c>
    </row>
    <row r="44" spans="1:32" x14ac:dyDescent="0.15">
      <c r="A44" s="60" t="s">
        <v>322</v>
      </c>
      <c r="B44" s="61">
        <v>0</v>
      </c>
      <c r="C44" s="61">
        <v>0</v>
      </c>
      <c r="D44" s="61">
        <v>0</v>
      </c>
      <c r="E44" s="61">
        <f>E159</f>
        <v>740.88195802196196</v>
      </c>
      <c r="F44" s="61">
        <f>F159</f>
        <v>764.21973969965381</v>
      </c>
      <c r="G44" s="61">
        <f>G159</f>
        <v>792.41944809457095</v>
      </c>
      <c r="H44" s="61">
        <f>H159</f>
        <v>816.58824126145532</v>
      </c>
      <c r="I44" s="61">
        <f>I159</f>
        <v>841.0858884992989</v>
      </c>
      <c r="M44" s="262"/>
      <c r="N44" s="114"/>
      <c r="O44" s="123"/>
      <c r="P44" s="123"/>
      <c r="Q44" s="123"/>
    </row>
    <row r="45" spans="1:32" ht="15" thickBot="1" x14ac:dyDescent="0.2">
      <c r="A45" s="60" t="s">
        <v>103</v>
      </c>
      <c r="B45" s="61">
        <f t="shared" ref="B45:I45" si="49">B31-B24</f>
        <v>11020</v>
      </c>
      <c r="C45" s="61">
        <f t="shared" si="49"/>
        <v>7787</v>
      </c>
      <c r="D45" s="61">
        <f t="shared" si="49"/>
        <v>9306</v>
      </c>
      <c r="E45" s="61">
        <f t="shared" si="49"/>
        <v>9114.6589266745832</v>
      </c>
      <c r="F45" s="61">
        <f t="shared" si="49"/>
        <v>9550.032415390222</v>
      </c>
      <c r="G45" s="61">
        <f t="shared" si="49"/>
        <v>9780.409998952051</v>
      </c>
      <c r="H45" s="61">
        <f t="shared" si="49"/>
        <v>9602.7353958422173</v>
      </c>
      <c r="I45" s="61">
        <f t="shared" si="49"/>
        <v>9713.8639079865588</v>
      </c>
      <c r="M45" s="262" t="s">
        <v>187</v>
      </c>
      <c r="N45" s="109" t="s">
        <v>181</v>
      </c>
      <c r="R45" s="250">
        <f>R41*$N$10</f>
        <v>10777.902</v>
      </c>
      <c r="S45" s="250">
        <f t="shared" ref="S45:V45" si="50">S41*$N$10</f>
        <v>8875.4869374618647</v>
      </c>
      <c r="T45" s="250">
        <f t="shared" si="50"/>
        <v>7308.8684956549241</v>
      </c>
      <c r="U45" s="250">
        <f t="shared" si="50"/>
        <v>6018.7749768750746</v>
      </c>
      <c r="V45" s="250">
        <f t="shared" si="50"/>
        <v>4956.3967724680615</v>
      </c>
    </row>
    <row r="46" spans="1:32" ht="15" thickBot="1" x14ac:dyDescent="0.2">
      <c r="A46" s="62" t="s">
        <v>123</v>
      </c>
      <c r="B46" s="128">
        <v>2014</v>
      </c>
      <c r="C46" s="128">
        <v>2015</v>
      </c>
      <c r="D46" s="129">
        <v>2016</v>
      </c>
      <c r="E46" s="128">
        <v>2017</v>
      </c>
      <c r="F46" s="128">
        <v>2018</v>
      </c>
      <c r="G46" s="129">
        <v>2019</v>
      </c>
      <c r="H46" s="129">
        <v>2020</v>
      </c>
      <c r="I46" s="129">
        <v>2021</v>
      </c>
      <c r="M46" s="262" t="s">
        <v>188</v>
      </c>
      <c r="N46" s="109" t="s">
        <v>181</v>
      </c>
      <c r="R46" s="251">
        <f>D48*$N$11</f>
        <v>973.68799999999999</v>
      </c>
      <c r="S46" s="251">
        <f>E48*$N$11</f>
        <v>876.72518416346043</v>
      </c>
      <c r="T46" s="251">
        <f>F48*$N$11</f>
        <v>1208.7724506240586</v>
      </c>
      <c r="U46" s="251">
        <f>G48*$N$11</f>
        <v>1422.6854652711581</v>
      </c>
      <c r="V46" s="251">
        <f>H48*$N$11</f>
        <v>1631.2981820720488</v>
      </c>
    </row>
    <row r="47" spans="1:32" x14ac:dyDescent="0.15">
      <c r="A47" s="26" t="s">
        <v>76</v>
      </c>
      <c r="B47" s="27"/>
      <c r="C47" s="27"/>
      <c r="D47" s="27"/>
      <c r="E47" s="27"/>
      <c r="F47" s="27"/>
      <c r="G47" s="27"/>
      <c r="H47" s="27"/>
      <c r="I47" s="27"/>
      <c r="M47" s="112"/>
      <c r="N47" s="109"/>
      <c r="O47" s="135"/>
      <c r="P47" s="135"/>
      <c r="Q47" s="135"/>
      <c r="R47" s="135"/>
      <c r="S47" s="135"/>
      <c r="T47" s="135"/>
      <c r="U47" s="135"/>
      <c r="V47" s="135"/>
    </row>
    <row r="48" spans="1:32" x14ac:dyDescent="0.15">
      <c r="A48" s="25" t="s">
        <v>81</v>
      </c>
      <c r="B48" s="132">
        <f>'Consolidated BS 2015'!C8</f>
        <v>57600</v>
      </c>
      <c r="C48" s="132">
        <f>'Consolidated BS 2016'!B8</f>
        <v>93439</v>
      </c>
      <c r="D48" s="132">
        <f>'Consolidated BS 2016'!C8</f>
        <v>121711</v>
      </c>
      <c r="E48" s="132">
        <f>E127</f>
        <v>109590.64802043255</v>
      </c>
      <c r="F48" s="132">
        <f>F127</f>
        <v>151096.55632800731</v>
      </c>
      <c r="G48" s="132">
        <f>G127</f>
        <v>177835.68315889477</v>
      </c>
      <c r="H48" s="132">
        <f>H127</f>
        <v>203912.2727590061</v>
      </c>
      <c r="I48" s="132">
        <f>I127</f>
        <v>232647.83512799215</v>
      </c>
      <c r="K48" s="79"/>
      <c r="M48" s="112"/>
      <c r="N48" s="109"/>
      <c r="O48" s="135"/>
      <c r="P48" s="135"/>
      <c r="Q48" s="135"/>
      <c r="R48" s="135"/>
      <c r="S48" s="135"/>
      <c r="T48" s="135"/>
      <c r="U48" s="135"/>
      <c r="V48" s="135"/>
    </row>
    <row r="49" spans="1:22" x14ac:dyDescent="0.15">
      <c r="A49" s="25" t="s">
        <v>126</v>
      </c>
      <c r="B49" s="132">
        <f>'Consolidated BS 2015'!C9</f>
        <v>51716</v>
      </c>
      <c r="C49" s="132" t="s">
        <v>39</v>
      </c>
      <c r="D49" s="30" t="s">
        <v>39</v>
      </c>
      <c r="E49" s="30" t="s">
        <v>39</v>
      </c>
      <c r="F49" s="30" t="s">
        <v>39</v>
      </c>
      <c r="G49" s="30" t="s">
        <v>39</v>
      </c>
      <c r="H49" s="30" t="s">
        <v>39</v>
      </c>
      <c r="I49" s="30" t="s">
        <v>39</v>
      </c>
      <c r="K49" s="79"/>
      <c r="L49" s="106" t="s">
        <v>189</v>
      </c>
      <c r="M49" s="106"/>
      <c r="N49" s="106" t="s">
        <v>325</v>
      </c>
      <c r="O49" s="106">
        <v>2014</v>
      </c>
      <c r="P49" s="106">
        <f>O49+1</f>
        <v>2015</v>
      </c>
      <c r="Q49" s="106">
        <f t="shared" ref="Q49:V49" si="51">P49+1</f>
        <v>2016</v>
      </c>
      <c r="R49" s="106">
        <f t="shared" si="51"/>
        <v>2017</v>
      </c>
      <c r="S49" s="106">
        <f t="shared" si="51"/>
        <v>2018</v>
      </c>
      <c r="T49" s="106">
        <f t="shared" si="51"/>
        <v>2019</v>
      </c>
      <c r="U49" s="106">
        <f t="shared" si="51"/>
        <v>2020</v>
      </c>
      <c r="V49" s="106">
        <f t="shared" si="51"/>
        <v>2021</v>
      </c>
    </row>
    <row r="50" spans="1:22" x14ac:dyDescent="0.15">
      <c r="A50" s="133" t="s">
        <v>77</v>
      </c>
      <c r="B50" s="30"/>
      <c r="C50" s="30"/>
      <c r="D50" s="30"/>
      <c r="E50" s="30"/>
      <c r="F50" s="30"/>
      <c r="G50" s="30"/>
      <c r="H50" s="30"/>
      <c r="I50" s="30"/>
      <c r="M50" s="172" t="s">
        <v>190</v>
      </c>
      <c r="N50" s="109" t="s">
        <v>191</v>
      </c>
      <c r="O50" s="137">
        <f>(B56/B17)*365</f>
        <v>305.90737951807228</v>
      </c>
      <c r="P50" s="137">
        <f>(C56/C17)*365</f>
        <v>490.0518923713779</v>
      </c>
      <c r="Q50" s="137">
        <f>(D56/D17)*365</f>
        <v>592.33795086251962</v>
      </c>
      <c r="R50" s="268">
        <v>650</v>
      </c>
      <c r="S50" s="268">
        <v>650</v>
      </c>
      <c r="T50" s="268">
        <v>680</v>
      </c>
      <c r="U50" s="268">
        <v>680</v>
      </c>
      <c r="V50" s="268">
        <v>750</v>
      </c>
    </row>
    <row r="51" spans="1:22" x14ac:dyDescent="0.15">
      <c r="A51" s="25" t="s">
        <v>108</v>
      </c>
      <c r="B51" s="134">
        <f>'Consolidated BS 2015'!C11</f>
        <v>127938</v>
      </c>
      <c r="C51" s="134">
        <f>'Consolidated BS 2016'!B10</f>
        <v>134308</v>
      </c>
      <c r="D51" s="134">
        <f>'Consolidated BS 2016'!C10</f>
        <v>116925</v>
      </c>
      <c r="E51" s="134">
        <f>E17*R63</f>
        <v>122927.03906698083</v>
      </c>
      <c r="F51" s="134">
        <f>F17*S63</f>
        <v>128198.69303461156</v>
      </c>
      <c r="G51" s="134">
        <f>G17*T63</f>
        <v>131822.91569916686</v>
      </c>
      <c r="H51" s="134">
        <f>H17*U63</f>
        <v>136105.09887503853</v>
      </c>
      <c r="I51" s="134">
        <f>I17*V63</f>
        <v>140400.04835242251</v>
      </c>
      <c r="M51" s="172" t="s">
        <v>192</v>
      </c>
      <c r="N51" s="109" t="s">
        <v>191</v>
      </c>
      <c r="O51" s="137">
        <f>(B57/B29)*365</f>
        <v>5140.522303910514</v>
      </c>
      <c r="P51" s="137">
        <f>(C57/C29)*365</f>
        <v>4569.4525197667917</v>
      </c>
      <c r="Q51" s="137">
        <f>(D57/D29)*365</f>
        <v>5320.2561071710006</v>
      </c>
      <c r="R51" s="268">
        <f>AVERAGE(O51:Q51)</f>
        <v>5010.0769769494354</v>
      </c>
      <c r="S51" s="268">
        <f t="shared" ref="S51:V51" si="52">AVERAGE(P51:R51)</f>
        <v>4966.5952012957423</v>
      </c>
      <c r="T51" s="268">
        <f t="shared" si="52"/>
        <v>5098.9760951387261</v>
      </c>
      <c r="U51" s="268">
        <f t="shared" si="52"/>
        <v>5025.216091127968</v>
      </c>
      <c r="V51" s="268">
        <f t="shared" si="52"/>
        <v>5030.2624625208118</v>
      </c>
    </row>
    <row r="52" spans="1:22" x14ac:dyDescent="0.15">
      <c r="A52" s="25" t="s">
        <v>109</v>
      </c>
      <c r="B52" s="134">
        <f>'Consolidated BS 2015'!C12</f>
        <v>160722</v>
      </c>
      <c r="C52" s="134">
        <f>'Consolidated BS 2016'!B11</f>
        <v>177638</v>
      </c>
      <c r="D52" s="134">
        <f>'Consolidated BS 2016'!C11</f>
        <v>184600</v>
      </c>
      <c r="E52" s="134">
        <f>E17*R64</f>
        <v>170419.53496037051</v>
      </c>
      <c r="F52" s="134">
        <f>F17*S64</f>
        <v>183044.58280656327</v>
      </c>
      <c r="G52" s="134">
        <f>G17*T64</f>
        <v>192997.21136370883</v>
      </c>
      <c r="H52" s="134">
        <f>H17*U64</f>
        <v>194101.70217665361</v>
      </c>
      <c r="I52" s="134">
        <f>I17*V64</f>
        <v>202076.77247047093</v>
      </c>
      <c r="M52" s="172" t="s">
        <v>193</v>
      </c>
      <c r="N52" s="109" t="s">
        <v>191</v>
      </c>
      <c r="O52" s="137">
        <f>(B67+B68)/B29*365</f>
        <v>3516.0245365567635</v>
      </c>
      <c r="P52" s="137">
        <f>(C67+C68)/C29*365</f>
        <v>3066.1340947208687</v>
      </c>
      <c r="Q52" s="137">
        <f>(D67+D68)/D29*365</f>
        <v>3387.8090524034674</v>
      </c>
      <c r="R52" s="268">
        <f>AVERAGE(O52:Q52)</f>
        <v>3323.322561227033</v>
      </c>
      <c r="S52" s="268">
        <f t="shared" ref="S52:V52" si="53">AVERAGE(P52:R52)</f>
        <v>3259.0885694504564</v>
      </c>
      <c r="T52" s="268">
        <f t="shared" si="53"/>
        <v>3323.4067276936526</v>
      </c>
      <c r="U52" s="268">
        <f t="shared" si="53"/>
        <v>3301.9392861237138</v>
      </c>
      <c r="V52" s="268">
        <f t="shared" si="53"/>
        <v>3294.8115277559409</v>
      </c>
    </row>
    <row r="53" spans="1:22" x14ac:dyDescent="0.15">
      <c r="A53" s="26" t="s">
        <v>78</v>
      </c>
      <c r="B53" s="26"/>
      <c r="C53" s="26"/>
      <c r="D53" s="26"/>
      <c r="E53" s="26"/>
      <c r="F53" s="26"/>
      <c r="G53" s="26"/>
      <c r="H53" s="26"/>
      <c r="I53" s="26"/>
      <c r="M53" s="172"/>
      <c r="N53" s="114"/>
      <c r="O53" s="123"/>
      <c r="P53" s="123"/>
      <c r="Q53" s="123"/>
      <c r="R53" s="269"/>
      <c r="S53" s="269"/>
      <c r="T53" s="269"/>
      <c r="U53" s="269"/>
      <c r="V53" s="269"/>
    </row>
    <row r="54" spans="1:22" x14ac:dyDescent="0.15">
      <c r="A54" s="25" t="s">
        <v>82</v>
      </c>
      <c r="B54" s="134">
        <f>'Consolidated BS 2015'!C14</f>
        <v>30671</v>
      </c>
      <c r="C54" s="134">
        <f>'Consolidated BS 2016'!B13</f>
        <v>25453</v>
      </c>
      <c r="D54" s="134">
        <f>'Consolidated BS 2016'!C13</f>
        <v>18044</v>
      </c>
      <c r="E54" s="134">
        <f>E17*R61</f>
        <v>23848.473702495998</v>
      </c>
      <c r="F54" s="134">
        <f>F17*S61</f>
        <v>23002.428983776295</v>
      </c>
      <c r="G54" s="134">
        <f>G17*T61</f>
        <v>23194.730673305221</v>
      </c>
      <c r="H54" s="134">
        <f>H17*U61</f>
        <v>24922.085639693891</v>
      </c>
      <c r="I54" s="134">
        <f>I17*V61</f>
        <v>25201.674823634348</v>
      </c>
      <c r="M54" s="172" t="s">
        <v>235</v>
      </c>
      <c r="N54" s="114" t="s">
        <v>177</v>
      </c>
      <c r="O54" s="118">
        <f>B58/B29</f>
        <v>1.0193044968652745</v>
      </c>
      <c r="P54" s="118">
        <f>C58/C29</f>
        <v>1.0070281926363709</v>
      </c>
      <c r="Q54" s="118">
        <f>D58/D29</f>
        <v>1.2549743892828999</v>
      </c>
      <c r="R54" s="253">
        <f>AVERAGE(O54:Q54)</f>
        <v>1.093769026261515</v>
      </c>
      <c r="S54" s="253">
        <f t="shared" ref="S54:V54" si="54">AVERAGE(P54:R54)</f>
        <v>1.1185905360602619</v>
      </c>
      <c r="T54" s="253">
        <f t="shared" si="54"/>
        <v>1.1557779838682256</v>
      </c>
      <c r="U54" s="253">
        <f t="shared" si="54"/>
        <v>1.1227125153966675</v>
      </c>
      <c r="V54" s="253">
        <f t="shared" si="54"/>
        <v>1.132360345108385</v>
      </c>
    </row>
    <row r="55" spans="1:22" x14ac:dyDescent="0.15">
      <c r="A55" s="25" t="s">
        <v>110</v>
      </c>
      <c r="B55" s="134">
        <f>'Consolidated BS 2015'!C15</f>
        <v>63808</v>
      </c>
      <c r="C55" s="134">
        <f>'Consolidated BS 2016'!B14</f>
        <v>46430</v>
      </c>
      <c r="D55" s="134">
        <f>'Consolidated BS 2016'!C14</f>
        <v>47780</v>
      </c>
      <c r="E55" s="134">
        <f>E17*R62</f>
        <v>51129.89264634758</v>
      </c>
      <c r="F55" s="134">
        <f>F17*S62</f>
        <v>49938.592890408916</v>
      </c>
      <c r="G55" s="134">
        <f>G17*T62</f>
        <v>53341.53375370807</v>
      </c>
      <c r="H55" s="134">
        <f>H17*U62</f>
        <v>54894.552551983885</v>
      </c>
      <c r="I55" s="134">
        <f>I17*V62</f>
        <v>56040.12344718138</v>
      </c>
      <c r="M55" s="262" t="s">
        <v>194</v>
      </c>
      <c r="N55" s="114" t="s">
        <v>177</v>
      </c>
      <c r="O55" s="118">
        <f>'LT Assets'!D8/B17</f>
        <v>3.4117238183503241E-2</v>
      </c>
      <c r="P55" s="118">
        <f>'LT Assets'!E8/B17</f>
        <v>3.6260426320667283E-2</v>
      </c>
      <c r="Q55" s="118">
        <f>'LT Assets'!F8/B17</f>
        <v>3.9938600556070437E-2</v>
      </c>
      <c r="R55" s="253">
        <v>0.04</v>
      </c>
      <c r="S55" s="253">
        <v>4.3999999999999997E-2</v>
      </c>
      <c r="T55" s="253">
        <v>4.3999999999999997E-2</v>
      </c>
      <c r="U55" s="253">
        <v>4.8000000000000001E-2</v>
      </c>
      <c r="V55" s="253">
        <v>4.8000000000000001E-2</v>
      </c>
    </row>
    <row r="56" spans="1:22" x14ac:dyDescent="0.15">
      <c r="A56" s="25" t="s">
        <v>83</v>
      </c>
      <c r="B56" s="134">
        <f>'Consolidated BS 2015'!C16</f>
        <v>28938</v>
      </c>
      <c r="C56" s="134">
        <f>'Consolidated BS 2016'!B15</f>
        <v>45407</v>
      </c>
      <c r="D56" s="134">
        <f>'Consolidated BS 2016'!C15</f>
        <v>49672</v>
      </c>
      <c r="E56" s="134">
        <f>(R50/365)*E17</f>
        <v>57123.752328767128</v>
      </c>
      <c r="F56" s="134">
        <f>(S50/365)*F17</f>
        <v>58923.150527123296</v>
      </c>
      <c r="G56" s="134">
        <f>(T50/365)*G17</f>
        <v>63917.295463800634</v>
      </c>
      <c r="H56" s="134">
        <f>(U50/365)*H17</f>
        <v>65866.772975446554</v>
      </c>
      <c r="I56" s="134">
        <f>(V50/365)*I17</f>
        <v>74826.591358135978</v>
      </c>
      <c r="M56" s="172" t="s">
        <v>236</v>
      </c>
      <c r="N56" s="114" t="s">
        <v>177</v>
      </c>
      <c r="O56" s="118">
        <f>B73/B17</f>
        <v>0.46556417979610748</v>
      </c>
      <c r="P56" s="118">
        <f>C73/C17</f>
        <v>0.55863394441159075</v>
      </c>
      <c r="Q56" s="118">
        <f>D73/D17</f>
        <v>0.4692237323575536</v>
      </c>
      <c r="R56" s="253">
        <f>AVERAGE(O56:Q56)</f>
        <v>0.49780728552175063</v>
      </c>
      <c r="S56" s="253">
        <f t="shared" ref="S56:V56" si="55">AVERAGE(P56:R56)</f>
        <v>0.50855498743029826</v>
      </c>
      <c r="T56" s="253">
        <f t="shared" si="55"/>
        <v>0.49186200176986744</v>
      </c>
      <c r="U56" s="253">
        <f t="shared" si="55"/>
        <v>0.49940809157397209</v>
      </c>
      <c r="V56" s="253">
        <f t="shared" si="55"/>
        <v>0.49994169359137924</v>
      </c>
    </row>
    <row r="57" spans="1:22" x14ac:dyDescent="0.15">
      <c r="A57" s="25" t="s">
        <v>111</v>
      </c>
      <c r="B57" s="134">
        <f>'Consolidated BS 2015'!C17</f>
        <v>312248</v>
      </c>
      <c r="C57" s="134">
        <f>'Consolidated BS 2016'!B16</f>
        <v>313502</v>
      </c>
      <c r="D57" s="134">
        <f>'Consolidated BS 2016'!C16</f>
        <v>295952</v>
      </c>
      <c r="E57" s="134">
        <f>R51/365*E29</f>
        <v>300272.51399370999</v>
      </c>
      <c r="F57" s="134">
        <f>S51/365*F29</f>
        <v>306154.24142184819</v>
      </c>
      <c r="G57" s="134">
        <f>T51/365*G29</f>
        <v>326858.86188525264</v>
      </c>
      <c r="H57" s="134">
        <f>U51/365*H29</f>
        <v>338296.12259071512</v>
      </c>
      <c r="I57" s="134">
        <f>V51/365*I29</f>
        <v>351304.23412673449</v>
      </c>
      <c r="M57" s="172"/>
      <c r="N57" s="114"/>
      <c r="O57" s="123"/>
      <c r="P57" s="123"/>
      <c r="Q57" s="123"/>
      <c r="R57" s="270"/>
      <c r="S57" s="271"/>
      <c r="T57" s="271"/>
      <c r="U57" s="271"/>
      <c r="V57" s="271"/>
    </row>
    <row r="58" spans="1:22" x14ac:dyDescent="0.15">
      <c r="A58" s="25" t="s">
        <v>84</v>
      </c>
      <c r="B58" s="134">
        <f>'Consolidated BS 2015'!C18</f>
        <v>22599</v>
      </c>
      <c r="C58" s="134">
        <f>'Consolidated BS 2016'!B17</f>
        <v>25218</v>
      </c>
      <c r="D58" s="134">
        <f>'Consolidated BS 2016'!C17</f>
        <v>25481</v>
      </c>
      <c r="E58" s="134">
        <f>R54*E29</f>
        <v>23927.078069976105</v>
      </c>
      <c r="F58" s="134">
        <f>S54*F29</f>
        <v>25167.815465017691</v>
      </c>
      <c r="G58" s="134">
        <f>T54*G29</f>
        <v>27042.358762412779</v>
      </c>
      <c r="H58" s="134">
        <f>U54*H29</f>
        <v>27586.951209095296</v>
      </c>
      <c r="I58" s="134">
        <f>V54*I29</f>
        <v>28864.91314649392</v>
      </c>
      <c r="K58" s="79"/>
      <c r="M58" s="172" t="s">
        <v>240</v>
      </c>
      <c r="N58" s="114" t="s">
        <v>177</v>
      </c>
      <c r="O58" s="118">
        <f>B73/B17</f>
        <v>0.46556417979610748</v>
      </c>
      <c r="P58" s="118">
        <f>C73/C17</f>
        <v>0.55863394441159075</v>
      </c>
      <c r="Q58" s="118">
        <f>D73/D17</f>
        <v>0.4692237323575536</v>
      </c>
      <c r="R58" s="253">
        <f>AVERAGE(O58:Q58)</f>
        <v>0.49780728552175063</v>
      </c>
      <c r="S58" s="253">
        <f t="shared" ref="S58:V58" si="56">AVERAGE(P58:R58)</f>
        <v>0.50855498743029826</v>
      </c>
      <c r="T58" s="253">
        <f t="shared" si="56"/>
        <v>0.49186200176986744</v>
      </c>
      <c r="U58" s="253">
        <f t="shared" si="56"/>
        <v>0.49940809157397209</v>
      </c>
      <c r="V58" s="253">
        <f t="shared" si="56"/>
        <v>0.49994169359137924</v>
      </c>
    </row>
    <row r="59" spans="1:22" x14ac:dyDescent="0.15">
      <c r="A59" s="28" t="s">
        <v>99</v>
      </c>
      <c r="B59" s="29">
        <f>SUM(B48:B58)</f>
        <v>856240</v>
      </c>
      <c r="C59" s="29">
        <f t="shared" ref="C59:D59" si="57">SUM(C48:C58)</f>
        <v>861395</v>
      </c>
      <c r="D59" s="29">
        <f t="shared" si="57"/>
        <v>860165</v>
      </c>
      <c r="E59" s="29">
        <f>SUM(E48:E58)</f>
        <v>859238.93278908054</v>
      </c>
      <c r="F59" s="29">
        <f>SUM(F48:F58)</f>
        <v>925526.06145735644</v>
      </c>
      <c r="G59" s="29">
        <f>SUM(G48:G58)</f>
        <v>997010.59076024988</v>
      </c>
      <c r="H59" s="29">
        <f>SUM(H48:H58)</f>
        <v>1045685.5587776329</v>
      </c>
      <c r="I59" s="29">
        <f t="shared" ref="I59" si="58">SUM(I48:I58)</f>
        <v>1111362.1928530657</v>
      </c>
      <c r="K59" s="79"/>
      <c r="M59" s="264" t="s">
        <v>251</v>
      </c>
      <c r="N59" s="114" t="s">
        <v>177</v>
      </c>
      <c r="P59" s="118">
        <f>1-C71/B71</f>
        <v>3.9357880556802893E-2</v>
      </c>
      <c r="Q59" s="118">
        <f>1-D71/C71</f>
        <v>8.2314721761282628E-2</v>
      </c>
      <c r="R59" s="253">
        <v>0.05</v>
      </c>
      <c r="S59" s="253">
        <v>0.05</v>
      </c>
      <c r="T59" s="253">
        <v>0.05</v>
      </c>
      <c r="U59" s="253">
        <v>0.05</v>
      </c>
      <c r="V59" s="253">
        <v>0.05</v>
      </c>
    </row>
    <row r="60" spans="1:22" x14ac:dyDescent="0.15">
      <c r="A60" s="26" t="s">
        <v>79</v>
      </c>
      <c r="B60" s="27"/>
      <c r="C60" s="27"/>
      <c r="D60" s="27"/>
      <c r="E60" s="27"/>
      <c r="F60" s="27"/>
      <c r="G60" s="27"/>
      <c r="H60" s="27"/>
      <c r="I60" s="27"/>
      <c r="K60" s="79"/>
      <c r="M60" s="264"/>
      <c r="N60" s="114"/>
      <c r="O60" s="118"/>
      <c r="P60" s="118"/>
      <c r="Q60" s="118"/>
      <c r="R60" s="253"/>
      <c r="S60" s="253"/>
      <c r="T60" s="253"/>
      <c r="U60" s="253"/>
      <c r="V60" s="253"/>
    </row>
    <row r="61" spans="1:22" x14ac:dyDescent="0.15">
      <c r="A61" s="25" t="s">
        <v>112</v>
      </c>
      <c r="B61" s="132">
        <f>'Consolidated BS 2015'!C21</f>
        <v>83008</v>
      </c>
      <c r="C61" s="132">
        <f>'Consolidated BS 2016'!B20</f>
        <v>97519</v>
      </c>
      <c r="D61" s="132">
        <f>'Consolidated BS 2016'!C20</f>
        <v>124098</v>
      </c>
      <c r="E61" s="132">
        <f>E17*R68</f>
        <v>99888.130530154333</v>
      </c>
      <c r="F61" s="132">
        <f>F17*S68</f>
        <v>110864.40784319391</v>
      </c>
      <c r="G61" s="132">
        <f>G17*T68</f>
        <v>120297.83431944692</v>
      </c>
      <c r="H61" s="132">
        <f>H17*U68</f>
        <v>117507.81965779419</v>
      </c>
      <c r="I61" s="132">
        <f>I17*V68</f>
        <v>123578.08819324167</v>
      </c>
      <c r="K61" s="79"/>
      <c r="M61" s="172" t="s">
        <v>232</v>
      </c>
      <c r="N61" s="114" t="s">
        <v>177</v>
      </c>
      <c r="O61" s="118">
        <f>B54/B17</f>
        <v>0.88829355885078776</v>
      </c>
      <c r="P61" s="118">
        <f>C54/C17</f>
        <v>0.75260201064458898</v>
      </c>
      <c r="Q61" s="118">
        <f>D54/D17</f>
        <v>0.58951907997909048</v>
      </c>
      <c r="R61" s="253">
        <f>AVERAGE(O61:Q61)</f>
        <v>0.74347154982482244</v>
      </c>
      <c r="S61" s="253">
        <f t="shared" ref="S61:V61" si="59">AVERAGE(P61:R61)</f>
        <v>0.6951975468161673</v>
      </c>
      <c r="T61" s="253">
        <f t="shared" si="59"/>
        <v>0.67606272554002678</v>
      </c>
      <c r="U61" s="253">
        <f t="shared" si="59"/>
        <v>0.70491060739367217</v>
      </c>
      <c r="V61" s="253">
        <f t="shared" si="59"/>
        <v>0.69205695991662208</v>
      </c>
    </row>
    <row r="62" spans="1:22" x14ac:dyDescent="0.15">
      <c r="A62" s="138" t="s">
        <v>80</v>
      </c>
      <c r="B62" s="30"/>
      <c r="C62" s="30"/>
      <c r="D62" s="30"/>
      <c r="E62" s="132"/>
      <c r="F62" s="30"/>
      <c r="G62" s="30"/>
      <c r="H62" s="30"/>
      <c r="I62" s="30"/>
      <c r="M62" s="172" t="s">
        <v>233</v>
      </c>
      <c r="N62" s="139" t="s">
        <v>177</v>
      </c>
      <c r="O62" s="140">
        <f>B55/B17</f>
        <v>1.8480074142724745</v>
      </c>
      <c r="P62" s="140">
        <f>C55/C17</f>
        <v>1.372856298048492</v>
      </c>
      <c r="Q62" s="140">
        <f>D55/D17</f>
        <v>1.5610297961317303</v>
      </c>
      <c r="R62" s="253">
        <f>AVERAGE(O62:Q62)</f>
        <v>1.5939645028175657</v>
      </c>
      <c r="S62" s="253">
        <f t="shared" ref="S62:V62" si="60">AVERAGE(P62:R62)</f>
        <v>1.5092835323325959</v>
      </c>
      <c r="T62" s="253">
        <f t="shared" si="60"/>
        <v>1.5547592770939638</v>
      </c>
      <c r="U62" s="253">
        <f t="shared" si="60"/>
        <v>1.5526691040813752</v>
      </c>
      <c r="V62" s="253">
        <f t="shared" si="60"/>
        <v>1.5389039711693115</v>
      </c>
    </row>
    <row r="63" spans="1:22" x14ac:dyDescent="0.15">
      <c r="A63" s="25" t="s">
        <v>88</v>
      </c>
      <c r="B63" s="134">
        <f>'Consolidated BS 2015'!C23</f>
        <v>88215</v>
      </c>
      <c r="C63" s="134">
        <f>'Consolidated BS 2016'!B22</f>
        <v>86069</v>
      </c>
      <c r="D63" s="134">
        <f>'Consolidated BS 2016'!C22</f>
        <v>71816</v>
      </c>
      <c r="E63" s="134">
        <f>E17*R65</f>
        <v>79616.76753483135</v>
      </c>
      <c r="F63" s="134">
        <f>F17*S65</f>
        <v>81321.265744359785</v>
      </c>
      <c r="G63" s="134">
        <f>G17*T65</f>
        <v>83325.256089603135</v>
      </c>
      <c r="H63" s="134">
        <f>H17*U65</f>
        <v>86837.615305455416</v>
      </c>
      <c r="I63" s="134">
        <f>I17*V65</f>
        <v>89128.692597749541</v>
      </c>
      <c r="J63" s="79"/>
      <c r="M63" s="172" t="s">
        <v>237</v>
      </c>
      <c r="N63" s="139" t="s">
        <v>177</v>
      </c>
      <c r="O63" s="140">
        <f>B51/B17</f>
        <v>3.705340593141798</v>
      </c>
      <c r="P63" s="140">
        <f>C51/C17</f>
        <v>3.9712596096984032</v>
      </c>
      <c r="Q63" s="140">
        <f>D51/D17</f>
        <v>3.8200797177208572</v>
      </c>
      <c r="R63" s="253">
        <f>AVERAGE(O63:Q63)</f>
        <v>3.8322266401870198</v>
      </c>
      <c r="S63" s="253">
        <f t="shared" ref="S63:V67" si="61">AVERAGE(P63:R63)</f>
        <v>3.8745219892020937</v>
      </c>
      <c r="T63" s="253">
        <f t="shared" si="61"/>
        <v>3.8422761157033238</v>
      </c>
      <c r="U63" s="253">
        <f t="shared" si="61"/>
        <v>3.8496749150308123</v>
      </c>
      <c r="V63" s="253">
        <f t="shared" si="61"/>
        <v>3.8554910066454098</v>
      </c>
    </row>
    <row r="64" spans="1:22" x14ac:dyDescent="0.15">
      <c r="A64" s="25" t="s">
        <v>113</v>
      </c>
      <c r="B64" s="134">
        <f>'Consolidated BS 2015'!C24</f>
        <v>5570</v>
      </c>
      <c r="C64" s="134">
        <f>'Consolidated BS 2016'!B23</f>
        <v>3614</v>
      </c>
      <c r="D64" s="134">
        <f>'Consolidated BS 2016'!C23</f>
        <v>7524</v>
      </c>
      <c r="E64" s="134">
        <f>E17*R66</f>
        <v>5495.8511187127988</v>
      </c>
      <c r="F64" s="134">
        <f>F17*S66</f>
        <v>5779.4140666969179</v>
      </c>
      <c r="G64" s="134">
        <f>G17*T66</f>
        <v>6768.1638622552755</v>
      </c>
      <c r="H64" s="134">
        <f>H17*U66</f>
        <v>6402.4943516802032</v>
      </c>
      <c r="I64" s="134">
        <f>I17*V66</f>
        <v>6713.0381249768525</v>
      </c>
      <c r="J64" s="79"/>
      <c r="M64" s="172" t="s">
        <v>227</v>
      </c>
      <c r="N64" s="139" t="s">
        <v>177</v>
      </c>
      <c r="O64" s="140">
        <f>B52/B17</f>
        <v>4.6548308619091747</v>
      </c>
      <c r="P64" s="140">
        <f>C52/C17</f>
        <v>5.2524541691306919</v>
      </c>
      <c r="Q64" s="140">
        <f>D52/D17</f>
        <v>6.0311029796131734</v>
      </c>
      <c r="R64" s="253">
        <f t="shared" ref="R64:R66" si="62">AVERAGE(O64:Q64)</f>
        <v>5.3127960035510133</v>
      </c>
      <c r="S64" s="253">
        <f t="shared" si="61"/>
        <v>5.5321177174316256</v>
      </c>
      <c r="T64" s="253">
        <f t="shared" si="61"/>
        <v>5.6253389001986038</v>
      </c>
      <c r="U64" s="253">
        <f t="shared" si="61"/>
        <v>5.4900842070604137</v>
      </c>
      <c r="V64" s="253">
        <f t="shared" si="61"/>
        <v>5.549180274896881</v>
      </c>
    </row>
    <row r="65" spans="1:22" x14ac:dyDescent="0.15">
      <c r="A65" s="25" t="s">
        <v>114</v>
      </c>
      <c r="B65" s="134">
        <f>'Consolidated BS 2015'!C25</f>
        <v>22809</v>
      </c>
      <c r="C65" s="134">
        <f>'Consolidated BS 2016'!B24</f>
        <v>24753</v>
      </c>
      <c r="D65" s="134">
        <f>'Consolidated BS 2016'!C24</f>
        <v>21523</v>
      </c>
      <c r="E65" s="134">
        <f>E17*R67</f>
        <v>22407.844857136672</v>
      </c>
      <c r="F65" s="134">
        <f>F17*S67</f>
        <v>23532.425935405325</v>
      </c>
      <c r="G65" s="134">
        <f>G17*T67</f>
        <v>24164.173085780232</v>
      </c>
      <c r="H65" s="134">
        <f>H17*U67</f>
        <v>24914.581496889543</v>
      </c>
      <c r="I65" s="134">
        <f>I17*V67</f>
        <v>25736.526870075631</v>
      </c>
      <c r="J65" s="79"/>
      <c r="M65" s="172" t="s">
        <v>228</v>
      </c>
      <c r="N65" s="139" t="s">
        <v>177</v>
      </c>
      <c r="O65" s="140">
        <f>B63/B17</f>
        <v>2.5548829935125115</v>
      </c>
      <c r="P65" s="140">
        <f>C63/C17</f>
        <v>2.5449142519219397</v>
      </c>
      <c r="Q65" s="140">
        <f>D63/D17</f>
        <v>2.346314688970204</v>
      </c>
      <c r="R65" s="253">
        <f t="shared" si="62"/>
        <v>2.4820373114682184</v>
      </c>
      <c r="S65" s="253">
        <f t="shared" si="61"/>
        <v>2.4577554174534542</v>
      </c>
      <c r="T65" s="253">
        <f t="shared" si="61"/>
        <v>2.4287024726306257</v>
      </c>
      <c r="U65" s="253">
        <f t="shared" si="61"/>
        <v>2.4561650671840991</v>
      </c>
      <c r="V65" s="253">
        <f t="shared" si="61"/>
        <v>2.4475409857560595</v>
      </c>
    </row>
    <row r="66" spans="1:22" x14ac:dyDescent="0.15">
      <c r="A66" s="26" t="s">
        <v>85</v>
      </c>
      <c r="B66" s="27"/>
      <c r="C66" s="27"/>
      <c r="D66" s="27"/>
      <c r="E66" s="27"/>
      <c r="F66" s="27"/>
      <c r="G66" s="27"/>
      <c r="H66" s="27"/>
      <c r="I66" s="27"/>
      <c r="M66" s="172" t="s">
        <v>229</v>
      </c>
      <c r="N66" s="139" t="s">
        <v>177</v>
      </c>
      <c r="O66" s="140">
        <f>B64/B17</f>
        <v>0.16131835032437442</v>
      </c>
      <c r="P66" s="140">
        <f>C64/C17</f>
        <v>0.10685984624482554</v>
      </c>
      <c r="Q66" s="140">
        <f>D64/D17</f>
        <v>0.24581808677469943</v>
      </c>
      <c r="R66" s="253">
        <f t="shared" si="62"/>
        <v>0.17133209444796646</v>
      </c>
      <c r="S66" s="253">
        <f t="shared" si="61"/>
        <v>0.1746700091558305</v>
      </c>
      <c r="T66" s="253">
        <f t="shared" si="61"/>
        <v>0.19727339679283215</v>
      </c>
      <c r="U66" s="253">
        <f t="shared" si="61"/>
        <v>0.18109183346554303</v>
      </c>
      <c r="V66" s="253">
        <f t="shared" si="61"/>
        <v>0.18434507980473525</v>
      </c>
    </row>
    <row r="67" spans="1:22" x14ac:dyDescent="0.15">
      <c r="A67" s="25" t="s">
        <v>89</v>
      </c>
      <c r="B67" s="134">
        <f>'Consolidated BS 2015'!C27</f>
        <v>6636</v>
      </c>
      <c r="C67" s="134">
        <f>'Consolidated BS 2016'!B26</f>
        <v>5406</v>
      </c>
      <c r="D67" s="134">
        <f>'Consolidated BS 2016'!C26</f>
        <v>4386</v>
      </c>
      <c r="E67" s="134"/>
      <c r="F67" s="134"/>
      <c r="G67" s="134"/>
      <c r="H67" s="134"/>
      <c r="I67" s="134"/>
      <c r="M67" s="172" t="s">
        <v>230</v>
      </c>
      <c r="N67" s="139" t="s">
        <v>177</v>
      </c>
      <c r="O67" s="140">
        <f>B65/B17</f>
        <v>0.66059430027803523</v>
      </c>
      <c r="P67" s="140">
        <f>C65/C17</f>
        <v>0.7319041986989947</v>
      </c>
      <c r="Q67" s="140">
        <f>D65/D17</f>
        <v>0.7031821745948772</v>
      </c>
      <c r="R67" s="253">
        <f>AVERAGE(O67:Q67)</f>
        <v>0.69856022452396915</v>
      </c>
      <c r="S67" s="253">
        <f t="shared" si="61"/>
        <v>0.71121553260594705</v>
      </c>
      <c r="T67" s="253">
        <f t="shared" si="61"/>
        <v>0.70431931057493113</v>
      </c>
      <c r="U67" s="253">
        <f t="shared" si="61"/>
        <v>0.70469835590161578</v>
      </c>
      <c r="V67" s="253">
        <f t="shared" si="61"/>
        <v>0.70674439969416458</v>
      </c>
    </row>
    <row r="68" spans="1:22" x14ac:dyDescent="0.15">
      <c r="A68" s="25" t="s">
        <v>90</v>
      </c>
      <c r="B68" s="134">
        <f>'Consolidated BS 2015'!C28</f>
        <v>206936</v>
      </c>
      <c r="C68" s="134">
        <f>'Consolidated BS 2016'!B27</f>
        <v>204956</v>
      </c>
      <c r="D68" s="134">
        <f>'Consolidated BS 2016'!C27</f>
        <v>184069</v>
      </c>
      <c r="E68" s="134"/>
      <c r="F68" s="134"/>
      <c r="G68" s="134"/>
      <c r="H68" s="134"/>
      <c r="I68" s="134"/>
      <c r="M68" s="172" t="s">
        <v>231</v>
      </c>
      <c r="N68" s="139" t="s">
        <v>177</v>
      </c>
      <c r="O68" s="140">
        <f>B61/B17</f>
        <v>2.4040778498609825</v>
      </c>
      <c r="P68" s="140">
        <f>C61/C17</f>
        <v>2.8834713187463041</v>
      </c>
      <c r="Q68" s="140">
        <f>D61/D17</f>
        <v>4.0544302143230526</v>
      </c>
      <c r="R68" s="253">
        <f>AVERAGE(O68:Q68)</f>
        <v>3.1139931276434467</v>
      </c>
      <c r="S68" s="253">
        <f t="shared" ref="S68:V71" si="63">AVERAGE(P68:R68)</f>
        <v>3.3506315535709348</v>
      </c>
      <c r="T68" s="253">
        <f t="shared" si="63"/>
        <v>3.5063516318458112</v>
      </c>
      <c r="U68" s="253">
        <f t="shared" si="63"/>
        <v>3.3236587710200642</v>
      </c>
      <c r="V68" s="253">
        <f t="shared" si="63"/>
        <v>3.3935473188122702</v>
      </c>
    </row>
    <row r="69" spans="1:22" x14ac:dyDescent="0.15">
      <c r="A69" s="272" t="s">
        <v>225</v>
      </c>
      <c r="B69" s="273">
        <f>SUM(B67:B68)</f>
        <v>213572</v>
      </c>
      <c r="C69" s="273">
        <f t="shared" ref="C69:D69" si="64">SUM(C67:C68)</f>
        <v>210362</v>
      </c>
      <c r="D69" s="273">
        <f t="shared" si="64"/>
        <v>188455</v>
      </c>
      <c r="E69" s="273">
        <f>R52/365*E29</f>
        <v>199179.05949606092</v>
      </c>
      <c r="F69" s="273">
        <f>S52/365*F29</f>
        <v>200898.95557552337</v>
      </c>
      <c r="G69" s="273">
        <f>T52/365*G29</f>
        <v>213039.81825515593</v>
      </c>
      <c r="H69" s="273">
        <f>U52/365*H29</f>
        <v>222285.61663203529</v>
      </c>
      <c r="I69" s="273">
        <f>V52/365*I29</f>
        <v>230103.54807017147</v>
      </c>
      <c r="M69" s="172" t="s">
        <v>234</v>
      </c>
      <c r="N69" s="139" t="s">
        <v>177</v>
      </c>
      <c r="O69" s="140">
        <f>B70/B29</f>
        <v>5.9574669613459026</v>
      </c>
      <c r="P69" s="140">
        <f>C70/C29</f>
        <v>4.6021883236163248</v>
      </c>
      <c r="Q69" s="140">
        <f>D70/D29</f>
        <v>5.7694542947202523</v>
      </c>
      <c r="R69" s="253">
        <f>AVERAGE(O69:Q69)</f>
        <v>5.4430365265608271</v>
      </c>
      <c r="S69" s="253">
        <f t="shared" si="63"/>
        <v>5.2715597149658011</v>
      </c>
      <c r="T69" s="253">
        <f t="shared" si="63"/>
        <v>5.4946835120822932</v>
      </c>
      <c r="U69" s="253">
        <f t="shared" si="63"/>
        <v>5.4030932512029741</v>
      </c>
      <c r="V69" s="253">
        <f t="shared" si="63"/>
        <v>5.3897788260836892</v>
      </c>
    </row>
    <row r="70" spans="1:22" x14ac:dyDescent="0.15">
      <c r="A70" s="25" t="s">
        <v>91</v>
      </c>
      <c r="B70" s="134">
        <f>'Consolidated BS 2015'!C29</f>
        <v>132083</v>
      </c>
      <c r="C70" s="134">
        <f>'Consolidated BS 2016'!B28</f>
        <v>115248</v>
      </c>
      <c r="D70" s="134">
        <f>'Consolidated BS 2016'!C28</f>
        <v>117143</v>
      </c>
      <c r="E70" s="134">
        <f>E29*R69</f>
        <v>119070.80634189918</v>
      </c>
      <c r="F70" s="134">
        <f>F29*S69</f>
        <v>118607.8711039023</v>
      </c>
      <c r="G70" s="134">
        <f>G29*T69</f>
        <v>128562.06372986667</v>
      </c>
      <c r="H70" s="134">
        <f>H29*U69</f>
        <v>132763.16764533945</v>
      </c>
      <c r="I70" s="134">
        <f>I29*V69</f>
        <v>137390.45028005337</v>
      </c>
      <c r="M70" s="264" t="s">
        <v>257</v>
      </c>
      <c r="N70" s="139" t="s">
        <v>177</v>
      </c>
      <c r="O70" s="140">
        <f>B72/B37</f>
        <v>20.746688126779745</v>
      </c>
      <c r="P70" s="140">
        <f>C72/C37</f>
        <v>31.505387931034484</v>
      </c>
      <c r="Q70" s="140">
        <f>D72/D37</f>
        <v>26.680682940595457</v>
      </c>
      <c r="R70" s="253">
        <f>AVERAGE(O70:Q70)</f>
        <v>26.310919666136559</v>
      </c>
      <c r="S70" s="253">
        <f t="shared" si="63"/>
        <v>28.165663512588832</v>
      </c>
      <c r="T70" s="253">
        <f t="shared" si="63"/>
        <v>27.052422039773617</v>
      </c>
      <c r="U70" s="253">
        <f t="shared" si="63"/>
        <v>27.176335072833002</v>
      </c>
      <c r="V70" s="253">
        <f t="shared" si="63"/>
        <v>27.46480687506515</v>
      </c>
    </row>
    <row r="71" spans="1:22" x14ac:dyDescent="0.15">
      <c r="A71" s="30" t="s">
        <v>115</v>
      </c>
      <c r="B71" s="134">
        <f>'Consolidated BS 2015'!C30</f>
        <v>44540</v>
      </c>
      <c r="C71" s="134">
        <f>'Consolidated BS 2016'!B29</f>
        <v>42787</v>
      </c>
      <c r="D71" s="134">
        <f>'Consolidated BS 2016'!C29</f>
        <v>39265</v>
      </c>
      <c r="E71" s="134">
        <f>E37*R71</f>
        <v>29937.351934715469</v>
      </c>
      <c r="F71" s="134">
        <f>F37*S71</f>
        <v>51637.138598305144</v>
      </c>
      <c r="G71" s="134">
        <f>G37*T71</f>
        <v>50025.146019648397</v>
      </c>
      <c r="H71" s="134">
        <f>H37*U71</f>
        <v>50902.564906921674</v>
      </c>
      <c r="I71" s="134">
        <f>I37*V71</f>
        <v>51685.998404739868</v>
      </c>
      <c r="M71" s="264" t="s">
        <v>258</v>
      </c>
      <c r="N71" s="139" t="s">
        <v>177</v>
      </c>
      <c r="O71" s="140">
        <f>B71/B37</f>
        <v>5.5144236721555036</v>
      </c>
      <c r="P71" s="140">
        <f>C71/C37</f>
        <v>7.6844468390804597</v>
      </c>
      <c r="Q71" s="140">
        <f>D71/D37</f>
        <v>5.5404261323550159</v>
      </c>
      <c r="R71" s="253">
        <f>AVERAGE(O71:Q71)</f>
        <v>6.2464322145303264</v>
      </c>
      <c r="S71" s="253">
        <f t="shared" si="63"/>
        <v>6.4904350619886015</v>
      </c>
      <c r="T71" s="253">
        <f t="shared" si="63"/>
        <v>6.0924311362913146</v>
      </c>
      <c r="U71" s="253">
        <f t="shared" si="63"/>
        <v>6.2764328042700805</v>
      </c>
      <c r="V71" s="253">
        <f t="shared" si="63"/>
        <v>6.2864330008499989</v>
      </c>
    </row>
    <row r="72" spans="1:22" x14ac:dyDescent="0.15">
      <c r="A72" s="30" t="s">
        <v>117</v>
      </c>
      <c r="B72" s="134">
        <f>'Consolidated BS 2015'!C31</f>
        <v>167571</v>
      </c>
      <c r="C72" s="134">
        <f>'Consolidated BS 2016'!B30</f>
        <v>175422</v>
      </c>
      <c r="D72" s="134">
        <f>'Consolidated BS 2016'!C30</f>
        <v>189086</v>
      </c>
      <c r="E72" s="134">
        <f>R70*E37</f>
        <v>126100.66590314911</v>
      </c>
      <c r="F72" s="134">
        <f>S70*F37</f>
        <v>224082.70888194733</v>
      </c>
      <c r="G72" s="134">
        <f>T70*G37</f>
        <v>222128.29861358658</v>
      </c>
      <c r="H72" s="134">
        <f>U70*H37</f>
        <v>220403.08613453089</v>
      </c>
      <c r="I72" s="134">
        <f>V70*I37</f>
        <v>225811.03849180718</v>
      </c>
      <c r="M72" s="264"/>
      <c r="N72" s="139"/>
      <c r="O72" s="140"/>
      <c r="P72" s="140"/>
      <c r="Q72" s="140"/>
      <c r="R72" s="255"/>
      <c r="S72" s="255"/>
      <c r="T72" s="255"/>
      <c r="U72" s="255"/>
      <c r="V72" s="255"/>
    </row>
    <row r="73" spans="1:22" x14ac:dyDescent="0.15">
      <c r="A73" s="25" t="s">
        <v>116</v>
      </c>
      <c r="B73" s="134">
        <f>'Consolidated BS 2015'!C32</f>
        <v>16075</v>
      </c>
      <c r="C73" s="134">
        <f>'Consolidated BS 2016'!B31</f>
        <v>18893</v>
      </c>
      <c r="D73" s="134">
        <f>'Consolidated BS 2016'!C31</f>
        <v>14362</v>
      </c>
      <c r="E73" s="134">
        <f>R56*E29</f>
        <v>10889.935167750795</v>
      </c>
      <c r="F73" s="134">
        <f>S56*F29</f>
        <v>11442.272811049963</v>
      </c>
      <c r="G73" s="134">
        <f>T56*G29</f>
        <v>11508.359649612232</v>
      </c>
      <c r="H73" s="134">
        <f>U56*H29</f>
        <v>12271.304066483071</v>
      </c>
      <c r="I73" s="134">
        <f>V56*I29</f>
        <v>12743.976443686734</v>
      </c>
      <c r="M73" s="264"/>
      <c r="N73" s="139"/>
      <c r="O73" s="140"/>
      <c r="P73" s="140"/>
      <c r="Q73" s="140"/>
      <c r="R73" s="255"/>
      <c r="S73" s="255"/>
      <c r="T73" s="255"/>
      <c r="U73" s="255"/>
      <c r="V73" s="255"/>
    </row>
    <row r="74" spans="1:22" x14ac:dyDescent="0.15">
      <c r="A74" s="28" t="s">
        <v>98</v>
      </c>
      <c r="B74" s="31">
        <f>SUM(B61:B73)-(B67+B68)</f>
        <v>773443</v>
      </c>
      <c r="C74" s="31">
        <f>SUM(C61:C73)-(C67+C68)</f>
        <v>774667</v>
      </c>
      <c r="D74" s="31">
        <f t="shared" ref="D74:I74" si="65">SUM(D61:D73)-(D67+D68)</f>
        <v>773272</v>
      </c>
      <c r="E74" s="31">
        <f>SUM(E61:E73)-(E67+E68)</f>
        <v>692586.4128844107</v>
      </c>
      <c r="F74" s="31">
        <f t="shared" si="65"/>
        <v>828166.46056038409</v>
      </c>
      <c r="G74" s="31">
        <f t="shared" si="65"/>
        <v>859819.11362495541</v>
      </c>
      <c r="H74" s="31">
        <f t="shared" si="65"/>
        <v>874288.25019712967</v>
      </c>
      <c r="I74" s="31">
        <f t="shared" si="65"/>
        <v>902891.35747650242</v>
      </c>
      <c r="M74" s="264"/>
      <c r="N74" s="139"/>
      <c r="O74" s="140"/>
      <c r="P74" s="140"/>
      <c r="Q74" s="140"/>
      <c r="R74" s="255"/>
      <c r="S74" s="255"/>
      <c r="T74" s="255"/>
      <c r="U74" s="255"/>
      <c r="V74" s="255"/>
    </row>
    <row r="75" spans="1:22" x14ac:dyDescent="0.15">
      <c r="A75" s="25" t="s">
        <v>86</v>
      </c>
      <c r="M75" s="264"/>
      <c r="N75" s="139"/>
      <c r="O75" s="140"/>
      <c r="P75" s="140"/>
      <c r="Q75" s="140"/>
      <c r="R75" s="255"/>
      <c r="S75" s="255"/>
      <c r="T75" s="255"/>
      <c r="U75" s="255"/>
      <c r="V75" s="255"/>
    </row>
    <row r="76" spans="1:22" x14ac:dyDescent="0.15">
      <c r="A76" s="26" t="s">
        <v>87</v>
      </c>
      <c r="B76" s="26"/>
      <c r="C76" s="26"/>
      <c r="D76" s="26"/>
      <c r="E76" s="26"/>
      <c r="F76" s="26"/>
      <c r="G76" s="26"/>
      <c r="H76" s="26"/>
      <c r="I76" s="26"/>
      <c r="M76" s="264"/>
      <c r="N76" s="139"/>
      <c r="O76" s="140"/>
      <c r="P76" s="140"/>
      <c r="Q76" s="140"/>
      <c r="R76" s="255"/>
      <c r="S76" s="255"/>
      <c r="T76" s="255"/>
      <c r="U76" s="255"/>
      <c r="V76" s="255"/>
    </row>
    <row r="77" spans="1:22" x14ac:dyDescent="0.15">
      <c r="A77" s="25" t="s">
        <v>118</v>
      </c>
      <c r="B77" s="132">
        <f>'Consolidated BS 2015'!C36</f>
        <v>9200</v>
      </c>
      <c r="C77" s="132">
        <f>'Consolidated BS 2016'!B35</f>
        <v>11200</v>
      </c>
      <c r="D77" s="132">
        <f>'Consolidated BS 2016'!C35</f>
        <v>11203</v>
      </c>
      <c r="E77" s="132">
        <f>AVERAGE(B77:D77)</f>
        <v>10534.333333333334</v>
      </c>
      <c r="F77" s="132">
        <f t="shared" ref="F77:I77" si="66">AVERAGE(C77:E77)</f>
        <v>10979.111111111111</v>
      </c>
      <c r="G77" s="132">
        <f t="shared" si="66"/>
        <v>10905.481481481482</v>
      </c>
      <c r="H77" s="132">
        <f t="shared" si="66"/>
        <v>10806.308641975309</v>
      </c>
      <c r="I77" s="132">
        <f t="shared" si="66"/>
        <v>10896.9670781893</v>
      </c>
      <c r="M77" s="264"/>
      <c r="N77" s="139"/>
      <c r="O77" s="140"/>
      <c r="P77" s="140"/>
      <c r="Q77" s="140"/>
      <c r="R77" s="255"/>
      <c r="S77" s="255"/>
      <c r="T77" s="255"/>
      <c r="U77" s="255"/>
      <c r="V77" s="255"/>
    </row>
    <row r="78" spans="1:22" x14ac:dyDescent="0.15">
      <c r="A78" s="25" t="s">
        <v>119</v>
      </c>
      <c r="B78" s="141">
        <f>'Consolidated BS 2015'!C37</f>
        <v>9</v>
      </c>
      <c r="C78" s="141">
        <f>'Consolidated BS 2016'!B36</f>
        <v>9</v>
      </c>
      <c r="D78" s="141">
        <f>'Consolidated BS 2016'!C36</f>
        <v>9</v>
      </c>
      <c r="E78" s="141">
        <f>D78</f>
        <v>9</v>
      </c>
      <c r="F78" s="141">
        <f t="shared" ref="F78:G78" si="67">E78</f>
        <v>9</v>
      </c>
      <c r="G78" s="141">
        <f t="shared" si="67"/>
        <v>9</v>
      </c>
      <c r="H78" s="141">
        <f t="shared" ref="H78:I78" si="68">G78</f>
        <v>9</v>
      </c>
      <c r="I78" s="141">
        <f t="shared" si="68"/>
        <v>9</v>
      </c>
      <c r="M78" s="264"/>
      <c r="N78" s="139"/>
      <c r="O78" s="140"/>
      <c r="P78" s="140"/>
      <c r="Q78" s="140"/>
      <c r="R78" s="255"/>
      <c r="S78" s="255"/>
      <c r="T78" s="255"/>
      <c r="U78" s="255"/>
      <c r="V78" s="255"/>
    </row>
    <row r="79" spans="1:22" x14ac:dyDescent="0.15">
      <c r="A79" s="25" t="s">
        <v>92</v>
      </c>
      <c r="B79" s="141">
        <f>'Consolidated BS 2015'!C38</f>
        <v>3766</v>
      </c>
      <c r="C79" s="141">
        <f>'Consolidated BS 2016'!B37</f>
        <v>4151</v>
      </c>
      <c r="D79" s="141">
        <f>'Consolidated BS 2016'!C37</f>
        <v>3914</v>
      </c>
      <c r="E79" s="141">
        <f>E37*R86</f>
        <v>2818.1964207796086</v>
      </c>
      <c r="F79" s="141">
        <f>F37*S86</f>
        <v>5001.083406713331</v>
      </c>
      <c r="G79" s="141">
        <f>G37*T86</f>
        <v>4841.4921209693885</v>
      </c>
      <c r="H79" s="141">
        <f>H37*U86</f>
        <v>4882.9668534856164</v>
      </c>
      <c r="I79" s="141">
        <f>I37*V86</f>
        <v>4988.784393932624</v>
      </c>
      <c r="M79" s="264"/>
      <c r="N79" s="139"/>
      <c r="O79" s="140"/>
      <c r="P79" s="140"/>
      <c r="Q79" s="140"/>
      <c r="R79" s="255"/>
      <c r="S79" s="255"/>
      <c r="T79" s="255"/>
      <c r="U79" s="255"/>
      <c r="V79" s="255"/>
    </row>
    <row r="80" spans="1:22" x14ac:dyDescent="0.15">
      <c r="A80" s="25" t="s">
        <v>120</v>
      </c>
      <c r="B80" s="141" t="s">
        <v>39</v>
      </c>
      <c r="C80" s="141" t="s">
        <v>39</v>
      </c>
      <c r="D80" s="141" t="s">
        <v>39</v>
      </c>
      <c r="E80" s="141"/>
      <c r="F80" s="141"/>
      <c r="G80" s="141"/>
      <c r="H80" s="141"/>
      <c r="I80" s="141"/>
      <c r="M80" s="264"/>
      <c r="N80" s="139"/>
      <c r="O80" s="140"/>
      <c r="P80" s="140"/>
      <c r="Q80" s="140"/>
      <c r="R80" s="255"/>
      <c r="S80" s="255"/>
      <c r="T80" s="255"/>
      <c r="U80" s="255"/>
      <c r="V80" s="255"/>
    </row>
    <row r="81" spans="1:22" x14ac:dyDescent="0.15">
      <c r="A81" s="25" t="s">
        <v>93</v>
      </c>
      <c r="B81" s="141">
        <f>'Consolidated BS 2015'!C40</f>
        <v>50049</v>
      </c>
      <c r="C81" s="141">
        <f>'Consolidated BS 2016'!B39</f>
        <v>51340</v>
      </c>
      <c r="D81" s="141">
        <f>'Consolidated BS 2016'!C39</f>
        <v>52638</v>
      </c>
      <c r="E81" s="141">
        <f>AVERAGE($B$81:$D$81)</f>
        <v>51342.333333333336</v>
      </c>
      <c r="F81" s="141">
        <f>AVERAGE($B$81:$D$81)</f>
        <v>51342.333333333336</v>
      </c>
      <c r="G81" s="141">
        <f>AVERAGE($B$81:$D$81)</f>
        <v>51342.333333333336</v>
      </c>
      <c r="H81" s="141">
        <f>AVERAGE($B$81:$D$81)</f>
        <v>51342.333333333336</v>
      </c>
      <c r="I81" s="141">
        <f>AVERAGE($B$81:$D$81)</f>
        <v>51342.333333333336</v>
      </c>
      <c r="M81" s="264"/>
      <c r="N81" s="139"/>
      <c r="O81" s="140"/>
      <c r="P81" s="140"/>
      <c r="Q81" s="140"/>
      <c r="R81" s="255"/>
      <c r="S81" s="255"/>
      <c r="T81" s="255"/>
      <c r="U81" s="255"/>
      <c r="V81" s="255"/>
    </row>
    <row r="82" spans="1:22" x14ac:dyDescent="0.15">
      <c r="A82" s="25" t="s">
        <v>94</v>
      </c>
      <c r="B82" s="141">
        <f>'Consolidated BS 2015'!C41</f>
        <v>78984</v>
      </c>
      <c r="C82" s="141">
        <f>'Consolidated BS 2016'!B40</f>
        <v>83386</v>
      </c>
      <c r="D82" s="141">
        <f>'Consolidated BS 2016'!C40</f>
        <v>89039</v>
      </c>
      <c r="E82" s="141">
        <f>D82+E37</f>
        <v>93831.71220859098</v>
      </c>
      <c r="F82" s="141">
        <f>E82+F37</f>
        <v>101787.59468875312</v>
      </c>
      <c r="G82" s="141">
        <f>F82+G37</f>
        <v>109998.62652490458</v>
      </c>
      <c r="H82" s="141">
        <f>G82+H37</f>
        <v>118108.73723497079</v>
      </c>
      <c r="I82" s="141">
        <f>H82+I37</f>
        <v>126330.56961555153</v>
      </c>
      <c r="M82" s="264"/>
      <c r="N82" s="139"/>
      <c r="O82" s="140"/>
      <c r="P82" s="140"/>
      <c r="Q82" s="140"/>
      <c r="R82" s="255"/>
      <c r="S82" s="255"/>
      <c r="T82" s="255"/>
      <c r="U82" s="255"/>
      <c r="V82" s="255"/>
    </row>
    <row r="83" spans="1:22" x14ac:dyDescent="0.15">
      <c r="A83" s="25" t="s">
        <v>95</v>
      </c>
      <c r="B83" s="141">
        <f>'Consolidated BS 2015'!C42</f>
        <v>-743</v>
      </c>
      <c r="C83" s="141">
        <f>'Consolidated BS 2016'!B41</f>
        <v>-718</v>
      </c>
      <c r="D83" s="141">
        <f>'Consolidated BS 2016'!C41</f>
        <v>-1216</v>
      </c>
      <c r="E83" s="141">
        <f>71645-261</f>
        <v>71384</v>
      </c>
      <c r="F83" s="141">
        <f>-6102-790</f>
        <v>-6892</v>
      </c>
      <c r="G83" s="141">
        <f>27303-1599</f>
        <v>25704</v>
      </c>
      <c r="H83" s="141">
        <f>53524-2695</f>
        <v>50829</v>
      </c>
      <c r="I83" s="141">
        <f>84009-4087</f>
        <v>79922</v>
      </c>
      <c r="J83" s="25" t="s">
        <v>327</v>
      </c>
      <c r="L83" s="106" t="s">
        <v>195</v>
      </c>
      <c r="M83" s="106"/>
      <c r="N83" s="106" t="s">
        <v>325</v>
      </c>
      <c r="O83" s="106">
        <v>2014</v>
      </c>
      <c r="P83" s="106">
        <f>O83+1</f>
        <v>2015</v>
      </c>
      <c r="Q83" s="106">
        <f t="shared" ref="Q83:V83" si="69">P83+1</f>
        <v>2016</v>
      </c>
      <c r="R83" s="106">
        <f t="shared" si="69"/>
        <v>2017</v>
      </c>
      <c r="S83" s="106">
        <f t="shared" si="69"/>
        <v>2018</v>
      </c>
      <c r="T83" s="106">
        <f t="shared" si="69"/>
        <v>2019</v>
      </c>
      <c r="U83" s="106">
        <f t="shared" si="69"/>
        <v>2020</v>
      </c>
      <c r="V83" s="106">
        <f t="shared" si="69"/>
        <v>2021</v>
      </c>
    </row>
    <row r="84" spans="1:22" x14ac:dyDescent="0.15">
      <c r="A84" s="25" t="s">
        <v>121</v>
      </c>
      <c r="B84" s="141">
        <f>'Consolidated BS 2015'!C43</f>
        <v>-58468</v>
      </c>
      <c r="C84" s="141">
        <f>'Consolidated BS 2016'!B42</f>
        <v>-62640</v>
      </c>
      <c r="D84" s="141">
        <f>'Consolidated BS 2016'!C42</f>
        <v>-68694</v>
      </c>
      <c r="E84" s="141">
        <f>AVERAGE(B84:D84)</f>
        <v>-63267.333333333336</v>
      </c>
      <c r="F84" s="141">
        <f t="shared" ref="F84:I84" si="70">AVERAGE(C84:E84)</f>
        <v>-64867.111111111117</v>
      </c>
      <c r="G84" s="141">
        <f t="shared" si="70"/>
        <v>-65609.481481481489</v>
      </c>
      <c r="H84" s="141">
        <f t="shared" si="70"/>
        <v>-64581.308641975316</v>
      </c>
      <c r="I84" s="141">
        <f t="shared" si="70"/>
        <v>-65019.300411522643</v>
      </c>
      <c r="M84" s="261" t="s">
        <v>196</v>
      </c>
      <c r="N84" s="109" t="s">
        <v>181</v>
      </c>
      <c r="O84" s="137">
        <f t="shared" ref="O84:V84" si="71">B102</f>
        <v>-678</v>
      </c>
      <c r="P84" s="137">
        <f t="shared" si="71"/>
        <v>-1833</v>
      </c>
      <c r="Q84" s="137">
        <f t="shared" si="71"/>
        <v>-2876</v>
      </c>
      <c r="R84" s="256">
        <f t="shared" si="71"/>
        <v>-1795.6666666666667</v>
      </c>
      <c r="S84" s="256">
        <f t="shared" si="71"/>
        <v>-1975.2333333333336</v>
      </c>
      <c r="T84" s="256">
        <f t="shared" si="71"/>
        <v>-2172.7566666666671</v>
      </c>
      <c r="U84" s="256">
        <f t="shared" si="71"/>
        <v>-2390.032333333334</v>
      </c>
      <c r="V84" s="256">
        <f t="shared" si="71"/>
        <v>-2629.0355666666678</v>
      </c>
    </row>
    <row r="85" spans="1:22" x14ac:dyDescent="0.15">
      <c r="A85" s="28" t="s">
        <v>96</v>
      </c>
      <c r="B85" s="29">
        <f>B84+B83+B82+B81+B77+B79+B78</f>
        <v>82797</v>
      </c>
      <c r="C85" s="29">
        <f>C84+C83+C82+C81+C77+C79+C78</f>
        <v>86728</v>
      </c>
      <c r="D85" s="29">
        <f t="shared" ref="D85" si="72">D84+D83+D82+D81+D77+D79+D78</f>
        <v>86893</v>
      </c>
      <c r="E85" s="29">
        <f>SUM(E77:E84)</f>
        <v>166652.24196270391</v>
      </c>
      <c r="F85" s="29">
        <f>SUM(F77:F84)</f>
        <v>97360.011428799771</v>
      </c>
      <c r="G85" s="29">
        <f t="shared" ref="G85:I85" si="73">SUM(G77:G84)</f>
        <v>137191.45197920731</v>
      </c>
      <c r="H85" s="29">
        <f t="shared" si="73"/>
        <v>171397.03742178975</v>
      </c>
      <c r="I85" s="29">
        <f t="shared" si="73"/>
        <v>208470.35400948414</v>
      </c>
      <c r="M85" s="262" t="s">
        <v>197</v>
      </c>
      <c r="N85" s="109" t="s">
        <v>177</v>
      </c>
      <c r="O85" s="118">
        <f>B90/B17</f>
        <v>3.8722196478220575E-2</v>
      </c>
      <c r="P85" s="118">
        <f>C90/C17</f>
        <v>2.9302188054405678E-2</v>
      </c>
      <c r="Q85" s="118">
        <f>D90/D17</f>
        <v>3.2605854678515421E-2</v>
      </c>
      <c r="R85" s="257">
        <v>2.5000000000000001E-2</v>
      </c>
      <c r="S85" s="257">
        <v>2.9000000000000001E-2</v>
      </c>
      <c r="T85" s="257">
        <v>0.03</v>
      </c>
      <c r="U85" s="257">
        <v>3.1E-2</v>
      </c>
      <c r="V85" s="257">
        <v>3.2000000000000001E-2</v>
      </c>
    </row>
    <row r="86" spans="1:22" x14ac:dyDescent="0.15">
      <c r="A86" s="26" t="s">
        <v>97</v>
      </c>
      <c r="B86" s="32">
        <f>B85+B74</f>
        <v>856240</v>
      </c>
      <c r="C86" s="32">
        <f t="shared" ref="C86:D86" si="74">C85+C74</f>
        <v>861395</v>
      </c>
      <c r="D86" s="32">
        <f t="shared" si="74"/>
        <v>860165</v>
      </c>
      <c r="E86" s="187">
        <f>E85+E74</f>
        <v>859238.65484711458</v>
      </c>
      <c r="F86" s="32">
        <f t="shared" ref="F86" si="75">F85+F74</f>
        <v>925526.47198918392</v>
      </c>
      <c r="G86" s="32">
        <f t="shared" ref="G86" si="76">G85+G74</f>
        <v>997010.56560416275</v>
      </c>
      <c r="H86" s="32">
        <f t="shared" ref="H86" si="77">H85+H74</f>
        <v>1045685.2876189194</v>
      </c>
      <c r="I86" s="32">
        <f t="shared" ref="I86" si="78">I85+I74</f>
        <v>1111361.7114859866</v>
      </c>
      <c r="M86" s="261" t="s">
        <v>249</v>
      </c>
      <c r="N86" s="184" t="s">
        <v>177</v>
      </c>
      <c r="O86" s="118">
        <f>B79/B37</f>
        <v>0.46626222607403739</v>
      </c>
      <c r="P86" s="118">
        <f>C79/C37</f>
        <v>0.74551005747126442</v>
      </c>
      <c r="Q86" s="118">
        <f>D79/D37</f>
        <v>0.55227882037533516</v>
      </c>
      <c r="R86" s="257">
        <f>AVERAGE(O86:Q86)</f>
        <v>0.58801703464021227</v>
      </c>
      <c r="S86" s="257">
        <f t="shared" ref="S86:V86" si="79">AVERAGE(P86:R86)</f>
        <v>0.62860197082893732</v>
      </c>
      <c r="T86" s="257">
        <f t="shared" si="79"/>
        <v>0.58963260861482825</v>
      </c>
      <c r="U86" s="257">
        <f t="shared" si="79"/>
        <v>0.60208387136132602</v>
      </c>
      <c r="V86" s="257">
        <f t="shared" si="79"/>
        <v>0.6067728169350306</v>
      </c>
    </row>
    <row r="87" spans="1:22" x14ac:dyDescent="0.15">
      <c r="A87" s="25" t="s">
        <v>122</v>
      </c>
      <c r="B87" s="33">
        <f t="shared" ref="B87:I87" si="80">B86-B59</f>
        <v>0</v>
      </c>
      <c r="C87" s="33">
        <f t="shared" si="80"/>
        <v>0</v>
      </c>
      <c r="D87" s="33">
        <f t="shared" si="80"/>
        <v>0</v>
      </c>
      <c r="E87" s="33">
        <f>E86-E59</f>
        <v>-0.27794196596369147</v>
      </c>
      <c r="F87" s="33">
        <f t="shared" si="80"/>
        <v>0.41053182748146355</v>
      </c>
      <c r="G87" s="33">
        <f t="shared" si="80"/>
        <v>-2.5156087125651538E-2</v>
      </c>
      <c r="H87" s="33">
        <f t="shared" si="80"/>
        <v>-0.27115871349815279</v>
      </c>
      <c r="I87" s="33">
        <f t="shared" si="80"/>
        <v>-0.48136707907542586</v>
      </c>
      <c r="M87" s="262" t="s">
        <v>198</v>
      </c>
      <c r="N87" s="114" t="s">
        <v>177</v>
      </c>
      <c r="O87" s="118">
        <f>B92/B17</f>
        <v>6.0385773864689525E-2</v>
      </c>
      <c r="P87" s="118">
        <f>C92/C17</f>
        <v>6.7179183914843288E-2</v>
      </c>
      <c r="Q87" s="118">
        <f>D92/D17</f>
        <v>6.8968897020386832E-2</v>
      </c>
      <c r="R87" s="252">
        <v>7.0000000000000007E-2</v>
      </c>
      <c r="S87" s="252">
        <v>7.2999999999999995E-2</v>
      </c>
      <c r="T87" s="252">
        <v>7.4999999999999997E-2</v>
      </c>
      <c r="U87" s="252">
        <v>0.08</v>
      </c>
      <c r="V87" s="252">
        <v>8.1000000000000003E-2</v>
      </c>
    </row>
    <row r="88" spans="1:22" x14ac:dyDescent="0.15">
      <c r="A88" s="42" t="s">
        <v>73</v>
      </c>
      <c r="B88" s="43">
        <v>2014</v>
      </c>
      <c r="C88" s="43">
        <v>2015</v>
      </c>
      <c r="D88" s="43">
        <v>2016</v>
      </c>
      <c r="E88" s="43">
        <v>2017</v>
      </c>
      <c r="F88" s="43">
        <v>2018</v>
      </c>
      <c r="G88" s="43">
        <v>2019</v>
      </c>
      <c r="H88" s="43">
        <v>2019</v>
      </c>
      <c r="I88" s="43">
        <v>2019</v>
      </c>
      <c r="M88" s="261"/>
      <c r="N88" s="115"/>
      <c r="O88" s="115"/>
      <c r="P88" s="115"/>
      <c r="Q88" s="115"/>
      <c r="R88" s="115"/>
      <c r="S88" s="115"/>
      <c r="T88" s="115"/>
      <c r="U88" s="115"/>
      <c r="V88" s="115"/>
    </row>
    <row r="89" spans="1:22" x14ac:dyDescent="0.15">
      <c r="A89" s="35" t="s">
        <v>6</v>
      </c>
      <c r="B89" s="132">
        <f t="shared" ref="B89:I89" si="81">B35</f>
        <v>8477</v>
      </c>
      <c r="C89" s="132">
        <f t="shared" si="81"/>
        <v>6083</v>
      </c>
      <c r="D89" s="132">
        <f t="shared" si="81"/>
        <v>7398</v>
      </c>
      <c r="E89" s="132">
        <f t="shared" si="81"/>
        <v>5201.3788752576438</v>
      </c>
      <c r="F89" s="132">
        <f t="shared" si="81"/>
        <v>8364.5491468288001</v>
      </c>
      <c r="G89" s="132">
        <f t="shared" si="81"/>
        <v>8619.6985028181261</v>
      </c>
      <c r="H89" s="132">
        <f t="shared" si="81"/>
        <v>8518.7773767328763</v>
      </c>
      <c r="I89" s="132">
        <f t="shared" si="81"/>
        <v>8630.4990472474055</v>
      </c>
      <c r="M89" s="263" t="s">
        <v>199</v>
      </c>
      <c r="N89" s="114" t="s">
        <v>177</v>
      </c>
      <c r="O89" s="118">
        <f>B91/B33</f>
        <v>0.12757731958762886</v>
      </c>
      <c r="P89" s="118">
        <f>C91/C33</f>
        <v>0.15769944341372913</v>
      </c>
      <c r="Q89" s="118">
        <f>D91/D33</f>
        <v>0.18960770818995182</v>
      </c>
      <c r="R89" s="252">
        <f>AVERAGE($O$89:$Q$89)</f>
        <v>0.1582948237304366</v>
      </c>
      <c r="S89" s="252">
        <f t="shared" ref="S89:V89" si="82">AVERAGE($O$89:$Q$89)</f>
        <v>0.1582948237304366</v>
      </c>
      <c r="T89" s="252">
        <f t="shared" si="82"/>
        <v>0.1582948237304366</v>
      </c>
      <c r="U89" s="252">
        <f t="shared" si="82"/>
        <v>0.1582948237304366</v>
      </c>
      <c r="V89" s="252">
        <f t="shared" si="82"/>
        <v>0.1582948237304366</v>
      </c>
    </row>
    <row r="90" spans="1:22" x14ac:dyDescent="0.15">
      <c r="A90" s="35" t="s">
        <v>13</v>
      </c>
      <c r="B90" s="143">
        <f>B24</f>
        <v>1337</v>
      </c>
      <c r="C90" s="143">
        <f>C24</f>
        <v>991</v>
      </c>
      <c r="D90" s="143">
        <f>D24</f>
        <v>998</v>
      </c>
      <c r="E90" s="143">
        <f>E161</f>
        <v>2053.118041978038</v>
      </c>
      <c r="F90" s="143">
        <f>F161</f>
        <v>3263.8983022783841</v>
      </c>
      <c r="G90" s="143">
        <f>G161</f>
        <v>4644.4788541838134</v>
      </c>
      <c r="H90" s="143">
        <f>H161</f>
        <v>6217.8906129223578</v>
      </c>
      <c r="I90" s="143">
        <f>I161</f>
        <v>8005.8047244230593</v>
      </c>
      <c r="M90" s="262" t="s">
        <v>200</v>
      </c>
      <c r="N90" s="114" t="s">
        <v>177</v>
      </c>
      <c r="O90" s="118">
        <f>-B119/B17</f>
        <v>4.2110750695088045E-2</v>
      </c>
      <c r="P90" s="118">
        <f>-C119/C17</f>
        <v>4.9704316972205793E-2</v>
      </c>
      <c r="Q90" s="118">
        <f>-D119/D17</f>
        <v>5.5737062205959226E-2</v>
      </c>
      <c r="R90" s="252">
        <v>5.8000000000000003E-2</v>
      </c>
      <c r="S90" s="252">
        <v>6.8000000000000005E-2</v>
      </c>
      <c r="T90" s="252">
        <v>7.0000000000000007E-2</v>
      </c>
      <c r="U90" s="252">
        <v>7.0000000000000007E-2</v>
      </c>
      <c r="V90" s="252">
        <v>7.0999999999999994E-2</v>
      </c>
    </row>
    <row r="91" spans="1:22" x14ac:dyDescent="0.15">
      <c r="A91" s="35" t="s">
        <v>72</v>
      </c>
      <c r="B91" s="144">
        <f>'Consolidated C F 2016'!B15</f>
        <v>495</v>
      </c>
      <c r="C91" s="144">
        <f>'Consolidated C F 2016'!C15</f>
        <v>425</v>
      </c>
      <c r="D91" s="144">
        <f>'Consolidated C F 2016'!D15</f>
        <v>551</v>
      </c>
      <c r="E91" s="143">
        <f>E33*R89</f>
        <v>791.47411865218305</v>
      </c>
      <c r="F91" s="143">
        <f>F33*S89</f>
        <v>351.96660111922296</v>
      </c>
      <c r="G91" s="143">
        <f>G33*T89</f>
        <v>362.70287034652119</v>
      </c>
      <c r="H91" s="143">
        <f>H33*U89</f>
        <v>358.45627377498721</v>
      </c>
      <c r="I91" s="143">
        <f>I33*V89</f>
        <v>363.15733966056081</v>
      </c>
      <c r="M91" s="262"/>
    </row>
    <row r="92" spans="1:22" x14ac:dyDescent="0.15">
      <c r="A92" s="35" t="s">
        <v>71</v>
      </c>
      <c r="B92" s="144">
        <f>'Consolidated C F 2016'!B16</f>
        <v>2085</v>
      </c>
      <c r="C92" s="144">
        <f>'Consolidated C F 2016'!C16</f>
        <v>2272</v>
      </c>
      <c r="D92" s="144">
        <f>'Consolidated C F 2016'!D16</f>
        <v>2111</v>
      </c>
      <c r="E92" s="143">
        <f>E17*R87</f>
        <v>2245.4028800000001</v>
      </c>
      <c r="F92" s="143">
        <f>F17*S87</f>
        <v>2415.3959166080003</v>
      </c>
      <c r="G92" s="143">
        <f>G17*T87</f>
        <v>2573.1411225316801</v>
      </c>
      <c r="H92" s="143">
        <f>H17*U87</f>
        <v>2828.3967218868224</v>
      </c>
      <c r="I92" s="143">
        <f>I17*V87</f>
        <v>2949.6642313377201</v>
      </c>
      <c r="M92" s="262" t="s">
        <v>201</v>
      </c>
      <c r="N92" s="109" t="s">
        <v>181</v>
      </c>
      <c r="O92" s="127">
        <f>-B118</f>
        <v>5469</v>
      </c>
      <c r="P92" s="127">
        <f>-C118</f>
        <v>4135</v>
      </c>
      <c r="Q92" s="127">
        <f>-D118</f>
        <v>6078</v>
      </c>
      <c r="R92" s="258">
        <f>AVERAGE(O92:Q92)</f>
        <v>5227.333333333333</v>
      </c>
      <c r="S92" s="258">
        <f>+R92</f>
        <v>5227.333333333333</v>
      </c>
      <c r="T92" s="258">
        <f t="shared" ref="T92:V92" si="83">+S92</f>
        <v>5227.333333333333</v>
      </c>
      <c r="U92" s="258">
        <f t="shared" si="83"/>
        <v>5227.333333333333</v>
      </c>
      <c r="V92" s="258">
        <f t="shared" si="83"/>
        <v>5227.333333333333</v>
      </c>
    </row>
    <row r="93" spans="1:22" x14ac:dyDescent="0.15">
      <c r="A93" s="52" t="s">
        <v>70</v>
      </c>
      <c r="B93" s="144">
        <f>'Consolidated C F 2016'!B17</f>
        <v>-289</v>
      </c>
      <c r="C93" s="144">
        <f>'Consolidated C F 2016'!C17</f>
        <v>-34</v>
      </c>
      <c r="D93" s="144">
        <f>'Consolidated C F 2016'!D17</f>
        <v>3</v>
      </c>
      <c r="E93" s="233" t="s">
        <v>39</v>
      </c>
      <c r="F93" s="233" t="s">
        <v>39</v>
      </c>
      <c r="G93" s="234" t="s">
        <v>39</v>
      </c>
      <c r="H93" s="234" t="s">
        <v>39</v>
      </c>
      <c r="I93" s="234" t="s">
        <v>39</v>
      </c>
      <c r="M93" s="261"/>
      <c r="N93" s="109"/>
      <c r="O93" s="142"/>
      <c r="P93" s="142"/>
      <c r="Q93" s="142"/>
    </row>
    <row r="94" spans="1:22" x14ac:dyDescent="0.15">
      <c r="A94" s="145" t="s">
        <v>69</v>
      </c>
      <c r="B94" s="144"/>
      <c r="C94" s="144"/>
      <c r="D94" s="144"/>
      <c r="E94" s="146"/>
      <c r="F94" s="146"/>
      <c r="G94" s="146"/>
      <c r="H94" s="146"/>
      <c r="I94" s="146"/>
      <c r="M94" s="261" t="s">
        <v>202</v>
      </c>
      <c r="N94" s="109" t="s">
        <v>177</v>
      </c>
      <c r="O94" s="118"/>
      <c r="P94" s="118"/>
      <c r="Q94" s="118"/>
      <c r="R94" s="252"/>
      <c r="S94" s="252"/>
      <c r="T94" s="252"/>
      <c r="U94" s="252"/>
      <c r="V94" s="252"/>
    </row>
    <row r="95" spans="1:22" x14ac:dyDescent="0.15">
      <c r="A95" s="52" t="s">
        <v>68</v>
      </c>
      <c r="B95" s="144">
        <f>'Consolidated C F 2016'!B19</f>
        <v>12328</v>
      </c>
      <c r="C95" s="144">
        <f>'Consolidated C F 2016'!C19</f>
        <v>19132</v>
      </c>
      <c r="D95" s="144">
        <f>'Consolidated C F 2016'!D19</f>
        <v>-15813</v>
      </c>
      <c r="E95" s="143">
        <f>(D69-E69)+(D56-E56)</f>
        <v>-18175.811824828044</v>
      </c>
      <c r="F95" s="143">
        <f>E69-F69+E56-F56</f>
        <v>-3519.2942778186261</v>
      </c>
      <c r="G95" s="143">
        <f>F69-G69+F56-G56</f>
        <v>-17135.007616309893</v>
      </c>
      <c r="H95" s="143">
        <f>G69-H69+G56-H56</f>
        <v>-11195.275888525284</v>
      </c>
      <c r="I95" s="143">
        <f>H69-I69+H56-I56</f>
        <v>-16777.7498208256</v>
      </c>
      <c r="M95" s="172" t="s">
        <v>238</v>
      </c>
      <c r="N95" s="114" t="s">
        <v>177</v>
      </c>
      <c r="O95" s="110">
        <f>B95/B17</f>
        <v>0.35704355885078776</v>
      </c>
      <c r="P95" s="110">
        <f>C95/C17</f>
        <v>0.56570076877587228</v>
      </c>
      <c r="Q95" s="110">
        <f>D95/D17</f>
        <v>-0.51662963930998429</v>
      </c>
      <c r="R95" s="232">
        <f t="shared" ref="R95:V95" si="84">E95/E17</f>
        <v>-0.56662741420281915</v>
      </c>
      <c r="S95" s="232">
        <f t="shared" si="84"/>
        <v>-0.10636288672771402</v>
      </c>
      <c r="T95" s="232">
        <f t="shared" si="84"/>
        <v>-0.49943843342677746</v>
      </c>
      <c r="U95" s="232">
        <f t="shared" si="84"/>
        <v>-0.31665362364179012</v>
      </c>
      <c r="V95" s="232">
        <f t="shared" si="84"/>
        <v>-0.46072963866485456</v>
      </c>
    </row>
    <row r="96" spans="1:22" ht="28.5" x14ac:dyDescent="0.15">
      <c r="A96" s="52" t="s">
        <v>67</v>
      </c>
      <c r="B96" s="144">
        <f>'Consolidated C F 2016'!B20</f>
        <v>-52793</v>
      </c>
      <c r="C96" s="144">
        <f>'Consolidated C F 2016'!C20</f>
        <v>-14825</v>
      </c>
      <c r="D96" s="144">
        <f>'Consolidated C F 2016'!D20</f>
        <v>78</v>
      </c>
      <c r="E96" s="143">
        <f>E51-D51+E52-D52+E63-D63+E64-D64</f>
        <v>-2405.807319104515</v>
      </c>
      <c r="F96" s="143">
        <f>F51-E51+F52-E52+F63-E63+F64-E64</f>
        <v>19884.76297133604</v>
      </c>
      <c r="G96" s="143">
        <f>G51-F51+G52-F52+G63-F63+G64-F64</f>
        <v>16569.591362502575</v>
      </c>
      <c r="H96" s="143">
        <f>H51-G51+H52-G52+H63-G63+H64-G64</f>
        <v>8533.3636940936522</v>
      </c>
      <c r="I96" s="143">
        <f>I51-H51+I52-H52+I63-H63+I64-H64</f>
        <v>14871.640836792079</v>
      </c>
      <c r="M96" s="172" t="s">
        <v>239</v>
      </c>
      <c r="N96" s="114" t="s">
        <v>177</v>
      </c>
      <c r="R96" s="252"/>
      <c r="S96" s="252"/>
      <c r="T96" s="252"/>
      <c r="U96" s="252"/>
      <c r="V96" s="252"/>
    </row>
    <row r="97" spans="1:22" x14ac:dyDescent="0.15">
      <c r="A97" s="35" t="s">
        <v>66</v>
      </c>
      <c r="B97" s="144">
        <f>'Consolidated C F 2016'!B21</f>
        <v>25881</v>
      </c>
      <c r="C97" s="144">
        <f>'Consolidated C F 2016'!C21</f>
        <v>16078</v>
      </c>
      <c r="D97" s="144">
        <f>'Consolidated C F 2016'!D21</f>
        <v>15253</v>
      </c>
      <c r="E97" s="143">
        <f>D57-E57</f>
        <v>-4320.5139937099884</v>
      </c>
      <c r="F97" s="143">
        <f>E57-F57</f>
        <v>-5881.7274281381979</v>
      </c>
      <c r="G97" s="143">
        <f>F57-G57</f>
        <v>-20704.620463404455</v>
      </c>
      <c r="H97" s="143">
        <f>G57-H57</f>
        <v>-11437.260705462482</v>
      </c>
      <c r="I97" s="143">
        <f>H57-I57</f>
        <v>-13008.111536019365</v>
      </c>
      <c r="M97" s="35" t="s">
        <v>241</v>
      </c>
      <c r="N97" s="114" t="s">
        <v>177</v>
      </c>
      <c r="O97" s="110">
        <f>B117/B17</f>
        <v>0.35336538461538464</v>
      </c>
      <c r="P97" s="110">
        <f>C117/C17</f>
        <v>0.43285038438793616</v>
      </c>
      <c r="Q97" s="110">
        <f>D117/D17</f>
        <v>0.32860690015682176</v>
      </c>
      <c r="R97" s="259">
        <f t="shared" ref="R97:R104" si="85">AVERAGE(O97:Q97)</f>
        <v>0.37160755638671422</v>
      </c>
      <c r="S97" s="259">
        <f t="shared" ref="S97:V97" si="86">AVERAGE(P97:R97)</f>
        <v>0.37768828031049068</v>
      </c>
      <c r="T97" s="259">
        <f t="shared" si="86"/>
        <v>0.35930091228467553</v>
      </c>
      <c r="U97" s="259">
        <f t="shared" si="86"/>
        <v>0.36953224966062681</v>
      </c>
      <c r="V97" s="259">
        <f t="shared" si="86"/>
        <v>0.36884048075193099</v>
      </c>
    </row>
    <row r="98" spans="1:22" x14ac:dyDescent="0.15">
      <c r="A98" s="52" t="s">
        <v>65</v>
      </c>
      <c r="B98" s="144">
        <f>'Consolidated C F 2016'!B22</f>
        <v>4642</v>
      </c>
      <c r="C98" s="144">
        <f>'Consolidated C F 2016'!C22</f>
        <v>-16835</v>
      </c>
      <c r="D98" s="144">
        <f>'Consolidated C F 2016'!D22</f>
        <v>1960</v>
      </c>
      <c r="E98" s="143">
        <f>E70-D70</f>
        <v>1927.8063418991806</v>
      </c>
      <c r="F98" s="143">
        <f>F70-E70</f>
        <v>-462.93523799687682</v>
      </c>
      <c r="G98" s="143">
        <f>G70-F70</f>
        <v>9954.192625964366</v>
      </c>
      <c r="H98" s="143">
        <f>H70-G70</f>
        <v>4201.1039154727769</v>
      </c>
      <c r="I98" s="143">
        <f>I70-H70</f>
        <v>4627.2826347139198</v>
      </c>
      <c r="M98" s="172" t="s">
        <v>242</v>
      </c>
      <c r="N98" s="114" t="s">
        <v>177</v>
      </c>
      <c r="O98" s="110">
        <f>B113/B29</f>
        <v>-7.2662487032610162E-2</v>
      </c>
      <c r="P98" s="110">
        <f>C113/C29</f>
        <v>-3.9932912706652826E-5</v>
      </c>
      <c r="Q98" s="110">
        <f>D113/D29</f>
        <v>-5.7673364854215918E-2</v>
      </c>
      <c r="R98" s="259">
        <f t="shared" si="85"/>
        <v>-4.345859493317758E-2</v>
      </c>
      <c r="S98" s="259">
        <f t="shared" ref="S98:V98" si="87">AVERAGE(P98:R98)</f>
        <v>-3.3723964233366717E-2</v>
      </c>
      <c r="T98" s="259">
        <f t="shared" si="87"/>
        <v>-4.4951974673586741E-2</v>
      </c>
      <c r="U98" s="259">
        <f t="shared" si="87"/>
        <v>-4.0711511280043682E-2</v>
      </c>
      <c r="V98" s="259">
        <f t="shared" si="87"/>
        <v>-3.9795816728999046E-2</v>
      </c>
    </row>
    <row r="99" spans="1:22" x14ac:dyDescent="0.15">
      <c r="A99" s="36" t="s">
        <v>64</v>
      </c>
      <c r="B99" s="144">
        <f>'Consolidated C F 2016'!B23</f>
        <v>-10095</v>
      </c>
      <c r="C99" s="144">
        <f>'Consolidated C F 2016'!C23</f>
        <v>-5417</v>
      </c>
      <c r="D99" s="144">
        <f>'Consolidated C F 2016'!D23</f>
        <v>-6969</v>
      </c>
      <c r="E99" s="147">
        <f>(E58-D58)+(E65-D65)+(E73-D73)</f>
        <v>-4141.1419051364282</v>
      </c>
      <c r="F99" s="147">
        <f>(F58-E58)+(F65-E65)+(F73-E73)</f>
        <v>2917.656116609407</v>
      </c>
      <c r="G99" s="147">
        <f>(G58-F58)+(G65-F65)+(G73-F73)</f>
        <v>2572.3772863322647</v>
      </c>
      <c r="H99" s="147">
        <f>(H58-G58)+(H65-G65)+(H73-G73)</f>
        <v>2057.9452746626666</v>
      </c>
      <c r="I99" s="147">
        <f>(I58-H58)+(I65-H65)+(I73-H73)</f>
        <v>2572.5796877883749</v>
      </c>
      <c r="M99" s="172" t="s">
        <v>244</v>
      </c>
      <c r="N99" s="114" t="s">
        <v>177</v>
      </c>
      <c r="O99" s="110">
        <f>B112/B29</f>
        <v>-0.34441387397952278</v>
      </c>
      <c r="P99" s="110">
        <f>C112/C29</f>
        <v>-0.25964379841865665</v>
      </c>
      <c r="Q99" s="110">
        <f>D112/D29</f>
        <v>-0.36322892040977145</v>
      </c>
      <c r="R99" s="259">
        <f t="shared" si="85"/>
        <v>-0.32242886426931694</v>
      </c>
      <c r="S99" s="259">
        <f t="shared" ref="S99:V99" si="88">AVERAGE(P99:R99)</f>
        <v>-0.31510052769924835</v>
      </c>
      <c r="T99" s="259">
        <f t="shared" si="88"/>
        <v>-0.33358610412611228</v>
      </c>
      <c r="U99" s="259">
        <f t="shared" si="88"/>
        <v>-0.32370516536489252</v>
      </c>
      <c r="V99" s="259">
        <f t="shared" si="88"/>
        <v>-0.32413059906341773</v>
      </c>
    </row>
    <row r="100" spans="1:22" x14ac:dyDescent="0.15">
      <c r="A100" s="148" t="s">
        <v>63</v>
      </c>
      <c r="B100" s="149">
        <f>SUM(B89:B99)</f>
        <v>-7932</v>
      </c>
      <c r="C100" s="149">
        <f>SUM(C89:C99)</f>
        <v>7870</v>
      </c>
      <c r="D100" s="149">
        <f t="shared" ref="D100" si="89">SUM(D89:D99)</f>
        <v>5570</v>
      </c>
      <c r="E100" s="149">
        <f>SUM(E89:E99)</f>
        <v>-16824.094784991932</v>
      </c>
      <c r="F100" s="149">
        <f t="shared" ref="F100" si="90">SUM(F89:F99)</f>
        <v>27334.272110826154</v>
      </c>
      <c r="G100" s="149">
        <f>SUM(G89:G99)</f>
        <v>7456.5545449649999</v>
      </c>
      <c r="H100" s="149">
        <f t="shared" ref="H100" si="91">SUM(H89:H99)</f>
        <v>10083.397275558375</v>
      </c>
      <c r="I100" s="149">
        <f t="shared" ref="I100" si="92">SUM(I89:I99)</f>
        <v>12234.76714511815</v>
      </c>
      <c r="M100" s="172" t="s">
        <v>243</v>
      </c>
      <c r="N100" s="114" t="s">
        <v>177</v>
      </c>
      <c r="O100" s="181">
        <f>B115/B29</f>
        <v>-1.26913535699788</v>
      </c>
      <c r="P100" s="181">
        <f>C115/C29</f>
        <v>-1.1788195831003914</v>
      </c>
      <c r="Q100" s="181">
        <f>D115/D29</f>
        <v>-1.8004826635145783</v>
      </c>
      <c r="R100" s="259">
        <f t="shared" si="85"/>
        <v>-1.4161458678709498</v>
      </c>
      <c r="S100" s="259">
        <f t="shared" ref="S100:V101" si="93">AVERAGE(P100:R100)</f>
        <v>-1.4651493714953066</v>
      </c>
      <c r="T100" s="259">
        <f t="shared" si="93"/>
        <v>-1.5605926342936114</v>
      </c>
      <c r="U100" s="259">
        <f t="shared" si="93"/>
        <v>-1.4806292912199559</v>
      </c>
      <c r="V100" s="259">
        <f t="shared" si="93"/>
        <v>-1.5021237656696247</v>
      </c>
    </row>
    <row r="101" spans="1:22" x14ac:dyDescent="0.15">
      <c r="A101" s="42" t="s">
        <v>62</v>
      </c>
      <c r="B101" s="150"/>
      <c r="C101" s="150"/>
      <c r="D101" s="150"/>
      <c r="E101" s="43"/>
      <c r="F101" s="43"/>
      <c r="G101" s="43"/>
      <c r="H101" s="43"/>
      <c r="I101" s="43"/>
      <c r="M101" s="172" t="s">
        <v>245</v>
      </c>
      <c r="N101" s="114" t="s">
        <v>177</v>
      </c>
      <c r="O101" s="182">
        <f>B116/B17</f>
        <v>1.86225671918443E-2</v>
      </c>
      <c r="P101" s="182">
        <f>C116/C17</f>
        <v>-1.3897102306327618E-3</v>
      </c>
      <c r="Q101" s="182">
        <f>D116/D17</f>
        <v>6.9099581808677465E-2</v>
      </c>
      <c r="R101" s="260">
        <f t="shared" si="85"/>
        <v>2.8777479589963E-2</v>
      </c>
      <c r="S101" s="260">
        <f t="shared" si="93"/>
        <v>3.2162450389335899E-2</v>
      </c>
      <c r="T101" s="260">
        <f t="shared" si="93"/>
        <v>4.3346503929325458E-2</v>
      </c>
      <c r="U101" s="260">
        <f t="shared" si="93"/>
        <v>3.4762144636208116E-2</v>
      </c>
      <c r="V101" s="260">
        <f t="shared" si="93"/>
        <v>3.6757032984956493E-2</v>
      </c>
    </row>
    <row r="102" spans="1:22" x14ac:dyDescent="0.15">
      <c r="A102" s="52" t="s">
        <v>61</v>
      </c>
      <c r="B102" s="132">
        <f>'Consolidated C F 2016'!B26</f>
        <v>-678</v>
      </c>
      <c r="C102" s="132">
        <f>'Consolidated C F 2016'!C26</f>
        <v>-1833</v>
      </c>
      <c r="D102" s="132">
        <f>'Consolidated C F 2016'!D26</f>
        <v>-2876</v>
      </c>
      <c r="E102" s="132">
        <f>AVERAGE(B102:D102)</f>
        <v>-1795.6666666666667</v>
      </c>
      <c r="F102" s="132">
        <f t="shared" ref="F102:I102" si="94">E102*1.1</f>
        <v>-1975.2333333333336</v>
      </c>
      <c r="G102" s="132">
        <f t="shared" si="94"/>
        <v>-2172.7566666666671</v>
      </c>
      <c r="H102" s="132">
        <f t="shared" si="94"/>
        <v>-2390.032333333334</v>
      </c>
      <c r="I102" s="132">
        <f t="shared" si="94"/>
        <v>-2629.0355666666678</v>
      </c>
      <c r="M102" s="172" t="s">
        <v>246</v>
      </c>
      <c r="N102" s="114" t="s">
        <v>177</v>
      </c>
      <c r="O102" s="110">
        <f>B119/B37</f>
        <v>-0.18001733316825555</v>
      </c>
      <c r="P102" s="110">
        <f>C119/C37</f>
        <v>-0.30190373563218392</v>
      </c>
      <c r="Q102" s="110">
        <f>D119/D37</f>
        <v>-0.24072244955552419</v>
      </c>
      <c r="R102" s="259">
        <f t="shared" si="85"/>
        <v>-0.2408811727853212</v>
      </c>
      <c r="S102" s="259">
        <f t="shared" ref="S102:V104" si="95">AVERAGE(P102:R102)</f>
        <v>-0.26116911932434311</v>
      </c>
      <c r="T102" s="259">
        <f t="shared" si="95"/>
        <v>-0.24759091388839619</v>
      </c>
      <c r="U102" s="259">
        <f t="shared" si="95"/>
        <v>-0.24988040199935349</v>
      </c>
      <c r="V102" s="259">
        <f t="shared" si="95"/>
        <v>-0.25288014507069762</v>
      </c>
    </row>
    <row r="103" spans="1:22" ht="28.5" x14ac:dyDescent="0.15">
      <c r="A103" s="52" t="s">
        <v>60</v>
      </c>
      <c r="B103" s="144">
        <f>'Consolidated C F 2016'!B27</f>
        <v>30</v>
      </c>
      <c r="C103" s="144">
        <f>'Consolidated C F 2016'!C27</f>
        <v>228</v>
      </c>
      <c r="D103" s="144">
        <f>'Consolidated C F 2016'!D27</f>
        <v>381</v>
      </c>
      <c r="E103" s="143">
        <f>AVERAGE(B103:D103)</f>
        <v>213</v>
      </c>
      <c r="F103" s="143">
        <f t="shared" ref="F103:I103" si="96">AVERAGE(C103:E103)</f>
        <v>274</v>
      </c>
      <c r="G103" s="143">
        <f t="shared" si="96"/>
        <v>289.33333333333331</v>
      </c>
      <c r="H103" s="143">
        <f t="shared" si="96"/>
        <v>258.77777777777777</v>
      </c>
      <c r="I103" s="143">
        <f t="shared" si="96"/>
        <v>274.03703703703701</v>
      </c>
      <c r="M103" s="172" t="s">
        <v>247</v>
      </c>
      <c r="N103" s="114" t="s">
        <v>177</v>
      </c>
      <c r="O103" s="110">
        <f>B114/B37</f>
        <v>4.9346291940076759</v>
      </c>
      <c r="P103" s="110">
        <f>C114/C37</f>
        <v>8.009159482758621</v>
      </c>
      <c r="Q103" s="110">
        <f>D114/D37</f>
        <v>7.1628333568505713</v>
      </c>
      <c r="R103" s="259">
        <f t="shared" si="85"/>
        <v>6.7022073445389552</v>
      </c>
      <c r="S103" s="259">
        <f t="shared" si="95"/>
        <v>7.2914000613827161</v>
      </c>
      <c r="T103" s="259">
        <f t="shared" si="95"/>
        <v>7.0521469209240806</v>
      </c>
      <c r="U103" s="259">
        <f t="shared" si="95"/>
        <v>7.0152514422819179</v>
      </c>
      <c r="V103" s="259">
        <f t="shared" si="95"/>
        <v>7.1195994748629055</v>
      </c>
    </row>
    <row r="104" spans="1:22" x14ac:dyDescent="0.15">
      <c r="A104" s="52" t="s">
        <v>59</v>
      </c>
      <c r="B104" s="144">
        <f>'Consolidated C F 2016'!B28</f>
        <v>-1732</v>
      </c>
      <c r="C104" s="144">
        <f>'Consolidated C F 2016'!C28</f>
        <v>-1808</v>
      </c>
      <c r="D104" s="144">
        <f>'Consolidated C F 2016'!D28</f>
        <v>14922</v>
      </c>
      <c r="E104" s="143">
        <f>AVERAGE(B104:D104)</f>
        <v>3794</v>
      </c>
      <c r="F104" s="143">
        <f t="shared" ref="F104:I104" si="97">AVERAGE(C104:E104)</f>
        <v>5636</v>
      </c>
      <c r="G104" s="143">
        <f t="shared" si="97"/>
        <v>8117.333333333333</v>
      </c>
      <c r="H104" s="143">
        <f t="shared" si="97"/>
        <v>5849.1111111111104</v>
      </c>
      <c r="I104" s="143">
        <f t="shared" si="97"/>
        <v>6534.1481481481469</v>
      </c>
      <c r="M104" s="172" t="s">
        <v>248</v>
      </c>
      <c r="N104" s="114" t="s">
        <v>177</v>
      </c>
      <c r="O104" s="110">
        <f>B120/B35</f>
        <v>0.23357319806535332</v>
      </c>
      <c r="P104" s="110">
        <f>C120/C35</f>
        <v>0.32763439092553015</v>
      </c>
      <c r="Q104" s="110">
        <f>D120/D35</f>
        <v>0.17612868342795351</v>
      </c>
      <c r="R104" s="259">
        <f t="shared" si="85"/>
        <v>0.24577875747294564</v>
      </c>
      <c r="S104" s="259">
        <f t="shared" si="95"/>
        <v>0.24984727727547643</v>
      </c>
      <c r="T104" s="259">
        <f t="shared" si="95"/>
        <v>0.22391823939212518</v>
      </c>
      <c r="U104" s="259">
        <f t="shared" si="95"/>
        <v>0.2398480913801824</v>
      </c>
      <c r="V104" s="259">
        <f t="shared" si="95"/>
        <v>0.23787120268259465</v>
      </c>
    </row>
    <row r="105" spans="1:22" x14ac:dyDescent="0.15">
      <c r="A105" s="35" t="s">
        <v>58</v>
      </c>
      <c r="B105" s="144">
        <f>'Consolidated C F 2016'!B29</f>
        <v>1514</v>
      </c>
      <c r="C105" s="144">
        <f>'Consolidated C F 2016'!C29</f>
        <v>1019</v>
      </c>
      <c r="D105" s="144">
        <f>'Consolidated C F 2016'!D29</f>
        <v>1512</v>
      </c>
      <c r="E105" s="143">
        <f>E63-D63</f>
        <v>7800.7675348313496</v>
      </c>
      <c r="F105" s="143">
        <f>F63-E63</f>
        <v>1704.4982095284358</v>
      </c>
      <c r="G105" s="143">
        <f>G63-F63</f>
        <v>2003.99034524335</v>
      </c>
      <c r="H105" s="143">
        <f>H63-G63</f>
        <v>3512.3592158522806</v>
      </c>
      <c r="I105" s="143">
        <f>I63-H63</f>
        <v>2291.0772922941251</v>
      </c>
      <c r="M105" s="172" t="s">
        <v>250</v>
      </c>
      <c r="N105" s="114" t="s">
        <v>177</v>
      </c>
      <c r="O105" s="110">
        <f>B122/B33</f>
        <v>0.20154639175257733</v>
      </c>
      <c r="P105" s="110">
        <f>C122/C33</f>
        <v>0.15102040816326531</v>
      </c>
      <c r="Q105" s="110">
        <f>D122/D33</f>
        <v>6.9511355815554024E-2</v>
      </c>
      <c r="R105" s="259"/>
      <c r="S105" s="259"/>
      <c r="T105" s="259"/>
      <c r="U105" s="259"/>
      <c r="V105" s="259"/>
    </row>
    <row r="106" spans="1:22" x14ac:dyDescent="0.15">
      <c r="A106" s="36" t="s">
        <v>57</v>
      </c>
      <c r="B106" s="144">
        <f>'Consolidated C F 2016'!B30</f>
        <v>-14043</v>
      </c>
      <c r="C106" s="144">
        <f>'Consolidated C F 2016'!C30</f>
        <v>-16180</v>
      </c>
      <c r="D106" s="144">
        <f>'Consolidated C F 2016'!D30</f>
        <v>-4669</v>
      </c>
      <c r="E106" s="147">
        <f>C56-D56</f>
        <v>-4265</v>
      </c>
      <c r="F106" s="147">
        <f t="shared" ref="F106:I106" si="98">D56-E56</f>
        <v>-7451.7523287671283</v>
      </c>
      <c r="G106" s="147">
        <f t="shared" si="98"/>
        <v>-1799.398198356168</v>
      </c>
      <c r="H106" s="147">
        <f t="shared" si="98"/>
        <v>-4994.1449366773377</v>
      </c>
      <c r="I106" s="147">
        <f t="shared" si="98"/>
        <v>-1949.4775116459205</v>
      </c>
      <c r="M106" s="172" t="s">
        <v>255</v>
      </c>
      <c r="N106" s="114" t="s">
        <v>177</v>
      </c>
      <c r="O106" s="181">
        <f>B111/B37</f>
        <v>0.85427757830877804</v>
      </c>
      <c r="P106" s="181">
        <f>C111/C37</f>
        <v>1.8586566091954022</v>
      </c>
      <c r="Q106" s="181">
        <f>D111/D37</f>
        <v>0.59065895301255822</v>
      </c>
      <c r="R106" s="259">
        <f>AVERAGE(O106:Q106)</f>
        <v>1.1011977135055795</v>
      </c>
      <c r="S106" s="259">
        <f t="shared" ref="S106:V107" si="99">AVERAGE(P106:R106)</f>
        <v>1.1835044252378466</v>
      </c>
      <c r="T106" s="259">
        <f t="shared" si="99"/>
        <v>0.9584536972519947</v>
      </c>
      <c r="U106" s="259">
        <f t="shared" si="99"/>
        <v>1.0810519453318068</v>
      </c>
      <c r="V106" s="259">
        <f t="shared" si="99"/>
        <v>1.0743366892738828</v>
      </c>
    </row>
    <row r="107" spans="1:22" x14ac:dyDescent="0.15">
      <c r="A107" s="148" t="s">
        <v>56</v>
      </c>
      <c r="B107" s="151">
        <f>SUM(B102:B106)</f>
        <v>-14909</v>
      </c>
      <c r="C107" s="151">
        <f t="shared" ref="C107:D107" si="100">SUM(C102:C106)</f>
        <v>-18574</v>
      </c>
      <c r="D107" s="151">
        <f t="shared" si="100"/>
        <v>9270</v>
      </c>
      <c r="E107" s="151">
        <f t="shared" ref="E107" si="101">SUM(E102:E106)</f>
        <v>5747.1008681646817</v>
      </c>
      <c r="F107" s="151">
        <f t="shared" ref="F107" si="102">SUM(F102:F106)</f>
        <v>-1812.4874525720261</v>
      </c>
      <c r="G107" s="151">
        <f t="shared" ref="G107" si="103">SUM(G102:G106)</f>
        <v>6438.5021468871819</v>
      </c>
      <c r="H107" s="151">
        <f t="shared" ref="H107" si="104">SUM(H102:H106)</f>
        <v>2236.0708347304972</v>
      </c>
      <c r="I107" s="151">
        <f t="shared" ref="I107" si="105">SUM(I102:I106)</f>
        <v>4520.7493991667207</v>
      </c>
      <c r="M107" s="172" t="s">
        <v>256</v>
      </c>
      <c r="N107" s="114" t="s">
        <v>177</v>
      </c>
      <c r="O107" s="181">
        <f>B109/B37</f>
        <v>0.20539804382815402</v>
      </c>
      <c r="P107" s="181">
        <f>C109/C37</f>
        <v>-6.6271551724137928E-2</v>
      </c>
      <c r="Q107" s="181">
        <f>D109/D37</f>
        <v>-0.21250176379286018</v>
      </c>
      <c r="R107" s="259">
        <f>AVERAGE(O107:Q107)</f>
        <v>-2.4458423896281362E-2</v>
      </c>
      <c r="S107" s="259">
        <f t="shared" si="99"/>
        <v>-0.10107724647109317</v>
      </c>
      <c r="T107" s="259">
        <f t="shared" si="99"/>
        <v>-0.11267914472007823</v>
      </c>
      <c r="U107" s="259">
        <f t="shared" si="99"/>
        <v>-7.9404938362484259E-2</v>
      </c>
      <c r="V107" s="259">
        <f t="shared" si="99"/>
        <v>-9.7720443184551878E-2</v>
      </c>
    </row>
    <row r="108" spans="1:22" x14ac:dyDescent="0.15">
      <c r="A108" s="42" t="s">
        <v>55</v>
      </c>
      <c r="B108" s="150"/>
      <c r="C108" s="150"/>
      <c r="D108" s="150"/>
      <c r="E108" s="43"/>
      <c r="F108" s="43"/>
      <c r="G108" s="43"/>
      <c r="H108" s="43"/>
      <c r="I108" s="43"/>
    </row>
    <row r="109" spans="1:22" x14ac:dyDescent="0.15">
      <c r="A109" s="35" t="s">
        <v>54</v>
      </c>
      <c r="B109" s="132">
        <f>'Consolidated C F 2016'!B33</f>
        <v>1659</v>
      </c>
      <c r="C109" s="132">
        <f>'Consolidated C F 2016'!C33</f>
        <v>-369</v>
      </c>
      <c r="D109" s="132">
        <f>'Consolidated C F 2016'!D33</f>
        <v>-1506</v>
      </c>
      <c r="E109" s="132">
        <f>E29*R107</f>
        <v>-535.04771481339276</v>
      </c>
      <c r="F109" s="132">
        <f>F29*S107</f>
        <v>-2274.1954315618632</v>
      </c>
      <c r="G109" s="132">
        <f>G29*T107</f>
        <v>-2636.4145182658172</v>
      </c>
      <c r="H109" s="132">
        <f>H29*U107</f>
        <v>-1951.1140477427823</v>
      </c>
      <c r="I109" s="132">
        <f>I29*V107</f>
        <v>-2490.9845327451822</v>
      </c>
    </row>
    <row r="110" spans="1:22" x14ac:dyDescent="0.15">
      <c r="A110" s="35" t="s">
        <v>53</v>
      </c>
      <c r="B110" s="144">
        <f>'Consolidated C F 2016'!B34</f>
        <v>-837</v>
      </c>
      <c r="C110" s="144">
        <f>'Consolidated C F 2016'!C34</f>
        <v>-867</v>
      </c>
      <c r="D110" s="144">
        <f>'Consolidated C F 2016'!D34</f>
        <v>-808</v>
      </c>
      <c r="E110" s="143">
        <f>AVERAGE(B110:D110)</f>
        <v>-837.33333333333337</v>
      </c>
      <c r="F110" s="143">
        <f t="shared" ref="F110:I110" si="106">AVERAGE(C110:E110)</f>
        <v>-837.44444444444446</v>
      </c>
      <c r="G110" s="143">
        <f t="shared" si="106"/>
        <v>-827.59259259259261</v>
      </c>
      <c r="H110" s="143">
        <f t="shared" si="106"/>
        <v>-834.12345679012344</v>
      </c>
      <c r="I110" s="143">
        <f t="shared" si="106"/>
        <v>-833.0534979423868</v>
      </c>
    </row>
    <row r="111" spans="1:22" x14ac:dyDescent="0.15">
      <c r="A111" s="52" t="s">
        <v>52</v>
      </c>
      <c r="B111" s="144">
        <f>'Consolidated C F 2016'!B35</f>
        <v>6900</v>
      </c>
      <c r="C111" s="144">
        <f>'Consolidated C F 2016'!C35</f>
        <v>10349</v>
      </c>
      <c r="D111" s="144">
        <f>'Consolidated C F 2016'!D35</f>
        <v>4186</v>
      </c>
      <c r="E111" s="143">
        <f>E37*R106</f>
        <v>5277.7237255906593</v>
      </c>
      <c r="F111" s="143">
        <f>F37*S106</f>
        <v>9415.8221219441384</v>
      </c>
      <c r="G111" s="143">
        <f>G37*T106</f>
        <v>7869.8938216132019</v>
      </c>
      <c r="H111" s="143">
        <f>H37*U106</f>
        <v>8767.4509599733974</v>
      </c>
      <c r="I111" s="143">
        <f>I37*V106</f>
        <v>8833.0161795179174</v>
      </c>
    </row>
    <row r="112" spans="1:22" ht="28.5" x14ac:dyDescent="0.15">
      <c r="A112" s="52" t="s">
        <v>51</v>
      </c>
      <c r="B112" s="144">
        <f>'Consolidated C F 2016'!B36</f>
        <v>-7636</v>
      </c>
      <c r="C112" s="144">
        <f>'Consolidated C F 2016'!C36</f>
        <v>-6502</v>
      </c>
      <c r="D112" s="144">
        <f>'Consolidated C F 2016'!D36</f>
        <v>-7375</v>
      </c>
      <c r="E112" s="143">
        <f>E29*R99</f>
        <v>-7053.3910013475816</v>
      </c>
      <c r="F112" s="143">
        <f>F29*S99</f>
        <v>-7089.6290272539391</v>
      </c>
      <c r="G112" s="143">
        <f>G29*T99</f>
        <v>-7805.093393232888</v>
      </c>
      <c r="H112" s="143">
        <f>H29*U99</f>
        <v>-7953.9850857530764</v>
      </c>
      <c r="I112" s="143">
        <f>I29*V99</f>
        <v>-8262.3889387358213</v>
      </c>
    </row>
    <row r="113" spans="1:9" ht="28.5" x14ac:dyDescent="0.15">
      <c r="A113" s="52" t="s">
        <v>50</v>
      </c>
      <c r="B113" s="144">
        <f>'Consolidated C F 2016'!B37</f>
        <v>-1611</v>
      </c>
      <c r="C113" s="144">
        <f>'Consolidated C F 2016'!C37</f>
        <v>-1</v>
      </c>
      <c r="D113" s="144">
        <f>'Consolidated C F 2016'!D37</f>
        <v>-1171</v>
      </c>
      <c r="E113" s="143">
        <f>E29*R98</f>
        <v>-950.69175375330838</v>
      </c>
      <c r="F113" s="143">
        <f>F29*S98</f>
        <v>-758.77497727059711</v>
      </c>
      <c r="G113" s="143">
        <f>G29*T98</f>
        <v>-1051.7655148037684</v>
      </c>
      <c r="H113" s="143">
        <f>H29*U98</f>
        <v>-1000.3509001004511</v>
      </c>
      <c r="I113" s="143">
        <f>I29*V98</f>
        <v>-1014.4321976997509</v>
      </c>
    </row>
    <row r="114" spans="1:9" x14ac:dyDescent="0.15">
      <c r="A114" s="52" t="s">
        <v>49</v>
      </c>
      <c r="B114" s="144">
        <f>'Consolidated C F 2016'!B38</f>
        <v>39857</v>
      </c>
      <c r="C114" s="144">
        <f>'Consolidated C F 2016'!C38</f>
        <v>44595</v>
      </c>
      <c r="D114" s="144">
        <f>'Consolidated C F 2016'!D38</f>
        <v>50763</v>
      </c>
      <c r="E114" s="143">
        <f>E37*R69</f>
        <v>26086.907612654701</v>
      </c>
      <c r="F114" s="143">
        <f>F37*S69</f>
        <v>41939.909579424908</v>
      </c>
      <c r="G114" s="143">
        <f>G37*T69</f>
        <v>45117.021247284225</v>
      </c>
      <c r="H114" s="143">
        <f>H37*U69</f>
        <v>43819.684444067694</v>
      </c>
      <c r="I114" s="143">
        <f>I37*V69</f>
        <v>44313.858076463323</v>
      </c>
    </row>
    <row r="115" spans="1:9" ht="28.5" x14ac:dyDescent="0.15">
      <c r="A115" s="52" t="s">
        <v>48</v>
      </c>
      <c r="B115" s="144">
        <f>'Consolidated C F 2016'!B39</f>
        <v>-28138</v>
      </c>
      <c r="C115" s="144">
        <f>'Consolidated C F 2016'!C39</f>
        <v>-29520</v>
      </c>
      <c r="D115" s="144">
        <f>'Consolidated C F 2016'!D39</f>
        <v>-36557</v>
      </c>
      <c r="E115" s="143">
        <f>E29*R100</f>
        <v>-30979.331033754035</v>
      </c>
      <c r="F115" s="143">
        <f>F29*S100</f>
        <v>-32965.243153544769</v>
      </c>
      <c r="G115" s="143">
        <f>G29*T100</f>
        <v>-36514.024741414607</v>
      </c>
      <c r="H115" s="143">
        <f>H29*U100</f>
        <v>-36381.57360454015</v>
      </c>
      <c r="I115" s="143">
        <f>I29*V100</f>
        <v>-38290.5249363779</v>
      </c>
    </row>
    <row r="116" spans="1:9" x14ac:dyDescent="0.15">
      <c r="A116" s="52" t="s">
        <v>47</v>
      </c>
      <c r="B116" s="144">
        <f>'Consolidated C F 2016'!B40</f>
        <v>643</v>
      </c>
      <c r="C116" s="144">
        <f>'Consolidated C F 2016'!C40</f>
        <v>-47</v>
      </c>
      <c r="D116" s="144">
        <f>'Consolidated C F 2016'!D40</f>
        <v>2115</v>
      </c>
      <c r="E116" s="143">
        <f>E17*R101</f>
        <v>923.10050786348779</v>
      </c>
      <c r="F116" s="143">
        <f>F17*S101</f>
        <v>1064.1787854590318</v>
      </c>
      <c r="G116" s="143">
        <f>G17*T101</f>
        <v>1487.155623713712</v>
      </c>
      <c r="H116" s="143">
        <f>H17*U101</f>
        <v>1229.0141991850828</v>
      </c>
      <c r="I116" s="143">
        <f>I17*V101</f>
        <v>1338.5296968620607</v>
      </c>
    </row>
    <row r="117" spans="1:9" x14ac:dyDescent="0.15">
      <c r="A117" s="35" t="s">
        <v>46</v>
      </c>
      <c r="B117" s="144">
        <f>'Consolidated C F 2016'!B41</f>
        <v>12201</v>
      </c>
      <c r="C117" s="144">
        <f>'Consolidated C F 2016'!C41</f>
        <v>14639</v>
      </c>
      <c r="D117" s="144">
        <f>'Consolidated C F 2016'!D41</f>
        <v>10058</v>
      </c>
      <c r="E117" s="143">
        <f>E17*R97</f>
        <v>11920.123962007008</v>
      </c>
      <c r="F117" s="143">
        <f>F17*S97</f>
        <v>12496.804520721329</v>
      </c>
      <c r="G117" s="143">
        <f>G17*T97</f>
        <v>12327.092703504622</v>
      </c>
      <c r="H117" s="143">
        <f>H17*U97</f>
        <v>13064.797544644747</v>
      </c>
      <c r="I117" s="143">
        <f>I17*V97</f>
        <v>13431.550285720736</v>
      </c>
    </row>
    <row r="118" spans="1:9" x14ac:dyDescent="0.15">
      <c r="A118" s="35" t="s">
        <v>45</v>
      </c>
      <c r="B118" s="144">
        <f>'Consolidated C F 2016'!B42</f>
        <v>-5469</v>
      </c>
      <c r="C118" s="144">
        <f>'Consolidated C F 2016'!C42</f>
        <v>-4135</v>
      </c>
      <c r="D118" s="144">
        <f>'Consolidated C F 2016'!D42</f>
        <v>-6078</v>
      </c>
      <c r="E118" s="143">
        <f>-R92</f>
        <v>-5227.333333333333</v>
      </c>
      <c r="F118" s="143">
        <f t="shared" ref="F118:I118" si="107">-S92</f>
        <v>-5227.333333333333</v>
      </c>
      <c r="G118" s="143">
        <f t="shared" si="107"/>
        <v>-5227.333333333333</v>
      </c>
      <c r="H118" s="143">
        <f t="shared" si="107"/>
        <v>-5227.333333333333</v>
      </c>
      <c r="I118" s="143">
        <f t="shared" si="107"/>
        <v>-5227.333333333333</v>
      </c>
    </row>
    <row r="119" spans="1:9" ht="28.5" x14ac:dyDescent="0.15">
      <c r="A119" s="52" t="s">
        <v>44</v>
      </c>
      <c r="B119" s="144">
        <f>'Consolidated C F 2016'!B43</f>
        <v>-1454</v>
      </c>
      <c r="C119" s="144">
        <f>'Consolidated C F 2016'!C43</f>
        <v>-1681</v>
      </c>
      <c r="D119" s="144">
        <f>'Consolidated C F 2016'!D43</f>
        <v>-1706</v>
      </c>
      <c r="E119" s="143">
        <f>E37*R102</f>
        <v>-1154.4741376279214</v>
      </c>
      <c r="F119" s="143">
        <f>F37*S102</f>
        <v>-2077.8308207919149</v>
      </c>
      <c r="G119" s="143">
        <f>G37*T102</f>
        <v>-2032.9768762794558</v>
      </c>
      <c r="H119" s="143">
        <f>H37*U102</f>
        <v>-2026.5577244906065</v>
      </c>
      <c r="I119" s="143">
        <f>I37*V102</f>
        <v>-2079.1381651482166</v>
      </c>
    </row>
    <row r="120" spans="1:9" x14ac:dyDescent="0.15">
      <c r="A120" s="52" t="s">
        <v>43</v>
      </c>
      <c r="B120" s="144">
        <f>'Consolidated C F 2016'!B44</f>
        <v>1980</v>
      </c>
      <c r="C120" s="144">
        <f>'Consolidated C F 2016'!C44</f>
        <v>1993</v>
      </c>
      <c r="D120" s="144">
        <f>'Consolidated C F 2016'!D44</f>
        <v>1303</v>
      </c>
      <c r="E120" s="143">
        <f>E35*R104</f>
        <v>1278.3884371068511</v>
      </c>
      <c r="F120" s="143">
        <f>F35*S104</f>
        <v>2089.8598299720852</v>
      </c>
      <c r="G120" s="143">
        <f>G35*T104</f>
        <v>1930.1077128419722</v>
      </c>
      <c r="H120" s="143">
        <f>H35*U104</f>
        <v>2043.2124947020575</v>
      </c>
      <c r="I120" s="143">
        <f>I35*V104</f>
        <v>2052.9471881197278</v>
      </c>
    </row>
    <row r="121" spans="1:9" ht="28.5" x14ac:dyDescent="0.15">
      <c r="A121" s="52" t="s">
        <v>42</v>
      </c>
      <c r="B121" s="144">
        <f>'Consolidated C F 2016'!B45</f>
        <v>123</v>
      </c>
      <c r="C121" s="144">
        <f>'Consolidated C F 2016'!C45</f>
        <v>259</v>
      </c>
      <c r="D121" s="144">
        <f>'Consolidated C F 2016'!D45</f>
        <v>6</v>
      </c>
      <c r="E121" s="143">
        <v>6</v>
      </c>
      <c r="F121" s="143">
        <v>6</v>
      </c>
      <c r="G121" s="143">
        <v>6</v>
      </c>
      <c r="H121" s="143">
        <v>6</v>
      </c>
      <c r="I121" s="143">
        <v>6</v>
      </c>
    </row>
    <row r="122" spans="1:9" x14ac:dyDescent="0.15">
      <c r="A122" s="52" t="s">
        <v>41</v>
      </c>
      <c r="B122" s="144">
        <f>'Consolidated C F 2016'!B46</f>
        <v>782</v>
      </c>
      <c r="C122" s="144">
        <f>'Consolidated C F 2016'!C46</f>
        <v>407</v>
      </c>
      <c r="D122" s="144">
        <f>'Consolidated C F 2016'!D46</f>
        <v>202</v>
      </c>
      <c r="E122" s="144">
        <f>D122</f>
        <v>202</v>
      </c>
      <c r="F122" s="144">
        <f t="shared" ref="F122:I122" si="108">E122</f>
        <v>202</v>
      </c>
      <c r="G122" s="144">
        <f t="shared" si="108"/>
        <v>202</v>
      </c>
      <c r="H122" s="144">
        <f t="shared" si="108"/>
        <v>202</v>
      </c>
      <c r="I122" s="144">
        <f t="shared" si="108"/>
        <v>202</v>
      </c>
    </row>
    <row r="123" spans="1:9" x14ac:dyDescent="0.15">
      <c r="A123" s="36" t="s">
        <v>40</v>
      </c>
      <c r="B123" s="144">
        <f>'Consolidated C F 2016'!B47</f>
        <v>-1</v>
      </c>
      <c r="C123" s="144">
        <f>'Consolidated C F 2016'!C47</f>
        <v>-2</v>
      </c>
      <c r="D123" s="144" t="str">
        <f>'Consolidated C F 2016'!D47</f>
        <v>-</v>
      </c>
      <c r="E123" s="144">
        <f>'Consolidated C F 2016'!E47</f>
        <v>0</v>
      </c>
      <c r="F123" s="144">
        <f>'Consolidated C F 2016'!F47</f>
        <v>0</v>
      </c>
      <c r="G123" s="144">
        <f>'Consolidated C F 2016'!G47</f>
        <v>0</v>
      </c>
      <c r="H123" s="144">
        <f>'Consolidated C F 2016'!H47</f>
        <v>0</v>
      </c>
      <c r="I123" s="144">
        <f>'Consolidated C F 2016'!I47</f>
        <v>0</v>
      </c>
    </row>
    <row r="124" spans="1:9" x14ac:dyDescent="0.15">
      <c r="A124" s="153" t="s">
        <v>38</v>
      </c>
      <c r="B124" s="188">
        <f>SUM(B109:B123)</f>
        <v>18999</v>
      </c>
      <c r="C124" s="188">
        <f>SUM(C109:C123)</f>
        <v>29118</v>
      </c>
      <c r="D124" s="188">
        <f>SUM(D109:D123)</f>
        <v>13432</v>
      </c>
      <c r="E124" s="189">
        <f>SUM(E109:E123)</f>
        <v>-1043.3580627401975</v>
      </c>
      <c r="F124" s="189">
        <f t="shared" ref="F124" si="109">SUM(F109:F123)</f>
        <v>15984.123649320632</v>
      </c>
      <c r="G124" s="189">
        <f t="shared" ref="G124" si="110">SUM(G109:G123)</f>
        <v>12844.070139035271</v>
      </c>
      <c r="H124" s="189">
        <f t="shared" ref="H124" si="111">SUM(H109:H123)</f>
        <v>13757.121489822457</v>
      </c>
      <c r="I124" s="189">
        <f t="shared" ref="I124" si="112">SUM(I109:I123)</f>
        <v>11980.045824701172</v>
      </c>
    </row>
    <row r="125" spans="1:9" x14ac:dyDescent="0.15">
      <c r="A125" s="120" t="s">
        <v>37</v>
      </c>
      <c r="B125" s="156">
        <v>-3842</v>
      </c>
      <c r="C125" s="157">
        <v>18414</v>
      </c>
      <c r="D125" s="157">
        <v>28272</v>
      </c>
      <c r="E125" s="152">
        <f>E127-E126</f>
        <v>-12120.351979567451</v>
      </c>
      <c r="F125" s="152">
        <f t="shared" ref="F125:I125" si="113">F127-F126</f>
        <v>41505.908307574762</v>
      </c>
      <c r="G125" s="152">
        <f t="shared" si="113"/>
        <v>26739.126830887457</v>
      </c>
      <c r="H125" s="152">
        <f t="shared" si="113"/>
        <v>26076.589600111329</v>
      </c>
      <c r="I125" s="152">
        <f t="shared" si="113"/>
        <v>28735.562368986051</v>
      </c>
    </row>
    <row r="126" spans="1:9" x14ac:dyDescent="0.15">
      <c r="A126" s="153" t="s">
        <v>36</v>
      </c>
      <c r="B126" s="154">
        <v>78867</v>
      </c>
      <c r="C126" s="154">
        <v>75025</v>
      </c>
      <c r="D126" s="154">
        <v>93439</v>
      </c>
      <c r="E126" s="155">
        <f>D127</f>
        <v>121711</v>
      </c>
      <c r="F126" s="155">
        <f t="shared" ref="F126:I126" si="114">E127</f>
        <v>109590.64802043255</v>
      </c>
      <c r="G126" s="155">
        <f t="shared" si="114"/>
        <v>151096.55632800731</v>
      </c>
      <c r="H126" s="155">
        <f t="shared" si="114"/>
        <v>177835.68315889477</v>
      </c>
      <c r="I126" s="155">
        <f t="shared" si="114"/>
        <v>203912.2727590061</v>
      </c>
    </row>
    <row r="127" spans="1:9" ht="15" thickBot="1" x14ac:dyDescent="0.2">
      <c r="A127" s="158" t="s">
        <v>35</v>
      </c>
      <c r="B127" s="159">
        <f>B100+B107+B124+B126</f>
        <v>75025</v>
      </c>
      <c r="C127" s="159">
        <f>C100+C107+C124+C126</f>
        <v>93439</v>
      </c>
      <c r="D127" s="159">
        <f>D100+D107+D124+D126</f>
        <v>121711</v>
      </c>
      <c r="E127" s="159">
        <f>E100+E107+E124+E126</f>
        <v>109590.64802043255</v>
      </c>
      <c r="F127" s="159">
        <f t="shared" ref="F127:I127" si="115">F100+F107+F124+F126</f>
        <v>151096.55632800731</v>
      </c>
      <c r="G127" s="159">
        <f t="shared" si="115"/>
        <v>177835.68315889477</v>
      </c>
      <c r="H127" s="159">
        <f t="shared" si="115"/>
        <v>203912.2727590061</v>
      </c>
      <c r="I127" s="159">
        <f t="shared" si="115"/>
        <v>232647.83512799215</v>
      </c>
    </row>
    <row r="128" spans="1:9" ht="15" thickTop="1" x14ac:dyDescent="0.15">
      <c r="A128" s="160"/>
      <c r="B128" s="161"/>
      <c r="C128" s="161"/>
      <c r="D128" s="162"/>
      <c r="E128" s="152"/>
      <c r="F128" s="152"/>
      <c r="G128" s="163"/>
      <c r="H128" s="163"/>
      <c r="I128" s="163"/>
    </row>
    <row r="129" spans="1:10" x14ac:dyDescent="0.15">
      <c r="A129" s="160" t="s">
        <v>143</v>
      </c>
      <c r="B129" s="161"/>
      <c r="C129" s="161"/>
      <c r="D129" s="162"/>
      <c r="E129" s="152"/>
      <c r="F129" s="152"/>
      <c r="G129" s="163"/>
      <c r="H129" s="163"/>
      <c r="I129" s="163"/>
    </row>
    <row r="130" spans="1:10" x14ac:dyDescent="0.15">
      <c r="A130" s="160" t="s">
        <v>34</v>
      </c>
    </row>
    <row r="131" spans="1:10" ht="15" thickBot="1" x14ac:dyDescent="0.2">
      <c r="A131" s="160" t="s">
        <v>144</v>
      </c>
    </row>
    <row r="132" spans="1:10" ht="15" thickBot="1" x14ac:dyDescent="0.2">
      <c r="A132" s="62" t="s">
        <v>145</v>
      </c>
      <c r="B132" s="128">
        <v>2014</v>
      </c>
      <c r="C132" s="128">
        <v>2015</v>
      </c>
      <c r="D132" s="129">
        <v>2016</v>
      </c>
      <c r="E132" s="128">
        <v>2017</v>
      </c>
      <c r="F132" s="128">
        <v>2018</v>
      </c>
      <c r="G132" s="129">
        <v>2019</v>
      </c>
      <c r="H132" s="129">
        <v>2020</v>
      </c>
      <c r="I132" s="129">
        <v>2021</v>
      </c>
    </row>
    <row r="133" spans="1:10" x14ac:dyDescent="0.15">
      <c r="A133" s="136" t="s">
        <v>146</v>
      </c>
      <c r="B133" s="164"/>
      <c r="C133" s="164"/>
      <c r="D133" s="164"/>
      <c r="E133" s="237">
        <f>D48</f>
        <v>121711</v>
      </c>
      <c r="F133" s="237">
        <f>E48</f>
        <v>109590.64802043255</v>
      </c>
      <c r="G133" s="237">
        <f>F48</f>
        <v>151096.55632800731</v>
      </c>
      <c r="H133" s="237">
        <f>G48</f>
        <v>177835.68315889477</v>
      </c>
      <c r="I133" s="237">
        <f>H48</f>
        <v>203912.2727590061</v>
      </c>
    </row>
    <row r="134" spans="1:10" x14ac:dyDescent="0.15">
      <c r="A134" s="136" t="s">
        <v>147</v>
      </c>
      <c r="B134" s="165"/>
      <c r="C134" s="165"/>
      <c r="D134" s="165"/>
      <c r="E134" s="237">
        <f>E100</f>
        <v>-16824.094784991932</v>
      </c>
      <c r="F134" s="237">
        <f t="shared" ref="F134:I134" si="116">F100</f>
        <v>27334.272110826154</v>
      </c>
      <c r="G134" s="237">
        <f t="shared" si="116"/>
        <v>7456.5545449649999</v>
      </c>
      <c r="H134" s="237">
        <f t="shared" si="116"/>
        <v>10083.397275558375</v>
      </c>
      <c r="I134" s="237">
        <f t="shared" si="116"/>
        <v>12234.76714511815</v>
      </c>
    </row>
    <row r="135" spans="1:10" x14ac:dyDescent="0.15">
      <c r="A135" s="136" t="s">
        <v>259</v>
      </c>
      <c r="B135" s="166"/>
      <c r="C135" s="166"/>
      <c r="D135" s="166"/>
      <c r="E135" s="237">
        <f>E124</f>
        <v>-1043.3580627401975</v>
      </c>
      <c r="F135" s="237">
        <f t="shared" ref="F135:I135" si="117">F124</f>
        <v>15984.123649320632</v>
      </c>
      <c r="G135" s="237">
        <f t="shared" si="117"/>
        <v>12844.070139035271</v>
      </c>
      <c r="H135" s="237">
        <f t="shared" si="117"/>
        <v>13757.121489822457</v>
      </c>
      <c r="I135" s="237">
        <f t="shared" si="117"/>
        <v>11980.045824701172</v>
      </c>
    </row>
    <row r="136" spans="1:10" x14ac:dyDescent="0.15">
      <c r="A136" s="136" t="s">
        <v>148</v>
      </c>
      <c r="B136" s="136"/>
      <c r="C136" s="136"/>
      <c r="D136" s="136"/>
      <c r="E136" s="136"/>
      <c r="F136" s="136"/>
      <c r="G136" s="136"/>
      <c r="H136" s="136"/>
      <c r="I136" s="136"/>
      <c r="J136" s="136"/>
    </row>
    <row r="137" spans="1:10" x14ac:dyDescent="0.15">
      <c r="A137" s="167"/>
      <c r="B137" s="167"/>
      <c r="C137" s="167"/>
      <c r="D137" s="167"/>
      <c r="E137" s="167"/>
      <c r="F137" s="167"/>
      <c r="G137" s="167"/>
      <c r="H137" s="167"/>
      <c r="I137" s="167"/>
      <c r="J137" s="136"/>
    </row>
    <row r="138" spans="1:10" x14ac:dyDescent="0.15">
      <c r="A138" s="133" t="s">
        <v>149</v>
      </c>
      <c r="B138" s="133"/>
      <c r="C138" s="133"/>
      <c r="D138" s="133"/>
      <c r="E138" s="133"/>
      <c r="F138" s="133"/>
      <c r="G138" s="133"/>
      <c r="H138" s="133"/>
      <c r="I138" s="133"/>
      <c r="J138" s="136"/>
    </row>
    <row r="139" spans="1:10" x14ac:dyDescent="0.15">
      <c r="A139" s="133"/>
      <c r="B139" s="133"/>
      <c r="C139" s="133"/>
      <c r="D139" s="133"/>
      <c r="E139" s="133"/>
      <c r="F139" s="133"/>
      <c r="G139" s="133"/>
      <c r="H139" s="133"/>
      <c r="I139" s="133"/>
      <c r="J139" s="136"/>
    </row>
    <row r="140" spans="1:10" x14ac:dyDescent="0.15">
      <c r="A140" s="136" t="s">
        <v>150</v>
      </c>
      <c r="B140" s="136"/>
      <c r="C140" s="136"/>
      <c r="D140" s="136"/>
      <c r="E140" s="235">
        <f>AVERAGE(F140:I140)</f>
        <v>18972.5</v>
      </c>
      <c r="F140" s="236">
        <v>20127</v>
      </c>
      <c r="G140" s="236">
        <v>21232</v>
      </c>
      <c r="H140" s="236">
        <v>17788</v>
      </c>
      <c r="I140" s="236">
        <v>16743</v>
      </c>
      <c r="J140" s="126"/>
    </row>
    <row r="141" spans="1:10" x14ac:dyDescent="0.15">
      <c r="A141" s="186" t="s">
        <v>252</v>
      </c>
      <c r="B141" s="136"/>
      <c r="C141" s="136"/>
      <c r="D141" s="136"/>
      <c r="E141" s="236">
        <v>1320</v>
      </c>
      <c r="F141" s="236">
        <v>1320</v>
      </c>
      <c r="G141" s="236">
        <v>1320</v>
      </c>
      <c r="H141" s="236">
        <v>1320</v>
      </c>
      <c r="I141" s="236">
        <v>1320</v>
      </c>
      <c r="J141" s="167"/>
    </row>
    <row r="142" spans="1:10" x14ac:dyDescent="0.15">
      <c r="J142" s="167"/>
    </row>
    <row r="143" spans="1:10" x14ac:dyDescent="0.15">
      <c r="A143" s="133" t="s">
        <v>151</v>
      </c>
      <c r="B143" s="133"/>
      <c r="C143" s="133"/>
      <c r="D143" s="133"/>
      <c r="E143" s="133"/>
      <c r="F143" s="133"/>
      <c r="G143" s="133"/>
      <c r="H143" s="133"/>
      <c r="I143" s="133"/>
      <c r="J143" s="167"/>
    </row>
    <row r="144" spans="1:10" x14ac:dyDescent="0.15">
      <c r="J144" s="133"/>
    </row>
    <row r="145" spans="1:10" x14ac:dyDescent="0.15">
      <c r="A145" s="136" t="s">
        <v>152</v>
      </c>
      <c r="B145" s="136"/>
      <c r="C145" s="136"/>
      <c r="E145" s="185">
        <v>2.3640000000000001E-2</v>
      </c>
      <c r="F145" s="185">
        <v>2.3640000000000001E-2</v>
      </c>
      <c r="G145" s="185">
        <v>2.3640000000000001E-2</v>
      </c>
      <c r="H145" s="185">
        <v>2.3640000000000001E-2</v>
      </c>
      <c r="I145" s="185">
        <v>2.3640000000000001E-2</v>
      </c>
      <c r="J145" s="136"/>
    </row>
    <row r="146" spans="1:10" x14ac:dyDescent="0.15">
      <c r="A146" s="186" t="s">
        <v>253</v>
      </c>
      <c r="B146" s="136"/>
      <c r="C146" s="136"/>
      <c r="E146" s="185">
        <v>6.3450000000000006E-2</v>
      </c>
      <c r="F146" s="185">
        <v>6.3450000000000006E-2</v>
      </c>
      <c r="G146" s="185">
        <v>6.3450000000000006E-2</v>
      </c>
      <c r="H146" s="185">
        <v>6.3450000000000006E-2</v>
      </c>
      <c r="I146" s="185">
        <v>6.3450000000000006E-2</v>
      </c>
      <c r="J146" s="136"/>
    </row>
    <row r="147" spans="1:10" x14ac:dyDescent="0.15">
      <c r="A147" s="136"/>
      <c r="B147" s="136"/>
      <c r="C147" s="136"/>
      <c r="D147" s="136"/>
      <c r="E147" s="136"/>
      <c r="F147" s="136"/>
      <c r="G147" s="136"/>
      <c r="H147" s="136"/>
      <c r="I147" s="136"/>
    </row>
    <row r="148" spans="1:10" x14ac:dyDescent="0.15">
      <c r="A148" s="136" t="s">
        <v>153</v>
      </c>
      <c r="B148" s="136"/>
      <c r="C148" s="136"/>
      <c r="D148" s="136"/>
      <c r="E148" s="237">
        <f>E145*E140</f>
        <v>448.50990000000002</v>
      </c>
      <c r="F148" s="237">
        <f t="shared" ref="F148:I148" si="118">F145*F140</f>
        <v>475.80228000000005</v>
      </c>
      <c r="G148" s="237">
        <f t="shared" si="118"/>
        <v>501.92448000000002</v>
      </c>
      <c r="H148" s="237">
        <f t="shared" si="118"/>
        <v>420.50832000000003</v>
      </c>
      <c r="I148" s="237">
        <f t="shared" si="118"/>
        <v>395.80452000000002</v>
      </c>
      <c r="J148" s="133"/>
    </row>
    <row r="149" spans="1:10" x14ac:dyDescent="0.15">
      <c r="A149" s="186" t="s">
        <v>254</v>
      </c>
      <c r="B149" s="136"/>
      <c r="C149" s="136"/>
      <c r="D149" s="136"/>
      <c r="E149" s="237">
        <f>E146*E141</f>
        <v>83.754000000000005</v>
      </c>
      <c r="F149" s="237">
        <f t="shared" ref="F149:I149" si="119">F146*F141</f>
        <v>83.754000000000005</v>
      </c>
      <c r="G149" s="237">
        <f t="shared" si="119"/>
        <v>83.754000000000005</v>
      </c>
      <c r="H149" s="237">
        <f t="shared" si="119"/>
        <v>83.754000000000005</v>
      </c>
      <c r="I149" s="237">
        <f t="shared" si="119"/>
        <v>83.754000000000005</v>
      </c>
    </row>
    <row r="150" spans="1:10" x14ac:dyDescent="0.15">
      <c r="J150" s="136"/>
    </row>
    <row r="151" spans="1:10" ht="15" thickBot="1" x14ac:dyDescent="0.2">
      <c r="A151" s="168" t="s">
        <v>154</v>
      </c>
      <c r="B151" s="168"/>
      <c r="C151" s="168"/>
      <c r="D151" s="168"/>
      <c r="E151" s="168">
        <f>E149+E148</f>
        <v>532.26390000000004</v>
      </c>
      <c r="F151" s="168">
        <f>F149+F148</f>
        <v>559.55628000000002</v>
      </c>
      <c r="G151" s="168">
        <f t="shared" ref="G151:I151" si="120">G149+G148</f>
        <v>585.67848000000004</v>
      </c>
      <c r="H151" s="168">
        <f t="shared" si="120"/>
        <v>504.26232000000005</v>
      </c>
      <c r="I151" s="168">
        <f t="shared" si="120"/>
        <v>479.55852000000004</v>
      </c>
      <c r="J151" s="136"/>
    </row>
    <row r="152" spans="1:10" ht="15" thickBot="1" x14ac:dyDescent="0.2">
      <c r="J152" s="112"/>
    </row>
    <row r="153" spans="1:10" ht="15" thickBot="1" x14ac:dyDescent="0.2">
      <c r="A153" s="62" t="s">
        <v>155</v>
      </c>
      <c r="B153" s="128">
        <v>2014</v>
      </c>
      <c r="C153" s="128">
        <v>2015</v>
      </c>
      <c r="D153" s="129">
        <v>2016</v>
      </c>
      <c r="E153" s="128">
        <v>2017</v>
      </c>
      <c r="F153" s="128">
        <v>2018</v>
      </c>
      <c r="G153" s="129">
        <v>2019</v>
      </c>
      <c r="H153" s="129">
        <v>2020</v>
      </c>
      <c r="I153" s="129">
        <v>2021</v>
      </c>
      <c r="J153" s="112"/>
    </row>
    <row r="154" spans="1:10" x14ac:dyDescent="0.15">
      <c r="A154" s="169"/>
      <c r="B154" s="170"/>
      <c r="C154" s="170"/>
      <c r="D154" s="170"/>
      <c r="E154" s="170"/>
      <c r="F154" s="170"/>
      <c r="G154" s="170"/>
      <c r="H154" s="170"/>
      <c r="J154" s="112"/>
    </row>
    <row r="155" spans="1:10" x14ac:dyDescent="0.15">
      <c r="A155" s="138" t="s">
        <v>156</v>
      </c>
      <c r="B155" s="190">
        <v>1322</v>
      </c>
      <c r="C155" s="171">
        <f>B90</f>
        <v>1337</v>
      </c>
      <c r="D155" s="171">
        <f>C90</f>
        <v>991</v>
      </c>
      <c r="E155" s="171">
        <f>D90</f>
        <v>998</v>
      </c>
      <c r="F155" s="171">
        <f>E161</f>
        <v>2053.118041978038</v>
      </c>
      <c r="G155" s="171">
        <f t="shared" ref="G155:I155" si="121">F161</f>
        <v>3263.8983022783841</v>
      </c>
      <c r="H155" s="171">
        <f t="shared" si="121"/>
        <v>4644.4788541838134</v>
      </c>
      <c r="I155" s="171">
        <f t="shared" si="121"/>
        <v>6217.8906129223578</v>
      </c>
      <c r="J155" s="81"/>
    </row>
    <row r="156" spans="1:10" x14ac:dyDescent="0.15">
      <c r="A156" s="172" t="s">
        <v>157</v>
      </c>
      <c r="B156" s="173">
        <v>678</v>
      </c>
      <c r="C156" s="173">
        <v>1833</v>
      </c>
      <c r="D156" s="173">
        <v>2876</v>
      </c>
      <c r="E156" s="174">
        <v>1796</v>
      </c>
      <c r="F156" s="174">
        <v>1975</v>
      </c>
      <c r="G156" s="174">
        <v>2173</v>
      </c>
      <c r="H156" s="174">
        <v>2390</v>
      </c>
      <c r="I156" s="174">
        <v>2629</v>
      </c>
      <c r="J156" s="167"/>
    </row>
    <row r="157" spans="1:10" x14ac:dyDescent="0.15">
      <c r="B157" s="274"/>
      <c r="C157" s="274"/>
      <c r="D157" s="274"/>
      <c r="E157" s="274"/>
      <c r="F157" s="274"/>
      <c r="G157" s="274"/>
      <c r="H157" s="274"/>
      <c r="I157" s="274"/>
      <c r="J157" s="81"/>
    </row>
    <row r="158" spans="1:10" x14ac:dyDescent="0.15">
      <c r="A158" s="25" t="s">
        <v>158</v>
      </c>
      <c r="B158" s="279" t="s">
        <v>159</v>
      </c>
      <c r="C158" s="279"/>
      <c r="D158" s="279"/>
      <c r="E158" s="175"/>
      <c r="F158" s="175"/>
      <c r="G158" s="175"/>
      <c r="H158" s="175"/>
    </row>
    <row r="159" spans="1:10" x14ac:dyDescent="0.15">
      <c r="A159" s="25" t="s">
        <v>160</v>
      </c>
      <c r="B159" s="173">
        <f>B17*B160</f>
        <v>1337</v>
      </c>
      <c r="C159" s="173">
        <f t="shared" ref="C159:I159" si="122">C17*C160</f>
        <v>425</v>
      </c>
      <c r="D159" s="173">
        <f t="shared" si="122"/>
        <v>551</v>
      </c>
      <c r="E159" s="173">
        <f t="shared" si="122"/>
        <v>740.88195802196196</v>
      </c>
      <c r="F159" s="173">
        <f t="shared" si="122"/>
        <v>764.21973969965381</v>
      </c>
      <c r="G159" s="173">
        <f t="shared" si="122"/>
        <v>792.41944809457095</v>
      </c>
      <c r="H159" s="173">
        <f t="shared" si="122"/>
        <v>816.58824126145532</v>
      </c>
      <c r="I159" s="173">
        <f t="shared" si="122"/>
        <v>841.0858884992989</v>
      </c>
    </row>
    <row r="160" spans="1:10" x14ac:dyDescent="0.15">
      <c r="A160" s="176"/>
      <c r="B160" s="177">
        <f>B90/B17</f>
        <v>3.8722196478220575E-2</v>
      </c>
      <c r="C160" s="177">
        <f>C91/C17</f>
        <v>1.2566528681253696E-2</v>
      </c>
      <c r="D160" s="177">
        <f>D91/D17</f>
        <v>1.800182958703607E-2</v>
      </c>
      <c r="E160" s="278">
        <f>AVERAGE($B$160:$D$160)</f>
        <v>2.3096851582170116E-2</v>
      </c>
      <c r="F160" s="278">
        <f>AVERAGE($B$160:$D$160)</f>
        <v>2.3096851582170116E-2</v>
      </c>
      <c r="G160" s="278">
        <f>AVERAGE($B$160:$D$160)</f>
        <v>2.3096851582170116E-2</v>
      </c>
      <c r="H160" s="278">
        <f>AVERAGE($B$160:$D$160)</f>
        <v>2.3096851582170116E-2</v>
      </c>
      <c r="I160" s="278">
        <f>AVERAGE($B$160:$D$160)</f>
        <v>2.3096851582170116E-2</v>
      </c>
    </row>
    <row r="161" spans="1:9" x14ac:dyDescent="0.15">
      <c r="A161" s="25" t="s">
        <v>161</v>
      </c>
      <c r="B161" s="173">
        <f>B155+B156-B159</f>
        <v>663</v>
      </c>
      <c r="C161" s="173">
        <f t="shared" ref="C161:I161" si="123">C155+C156-C159</f>
        <v>2745</v>
      </c>
      <c r="D161" s="173">
        <f t="shared" si="123"/>
        <v>3316</v>
      </c>
      <c r="E161" s="173">
        <f t="shared" si="123"/>
        <v>2053.118041978038</v>
      </c>
      <c r="F161" s="173">
        <f t="shared" si="123"/>
        <v>3263.8983022783841</v>
      </c>
      <c r="G161" s="173">
        <f t="shared" si="123"/>
        <v>4644.4788541838134</v>
      </c>
      <c r="H161" s="173">
        <f t="shared" si="123"/>
        <v>6217.8906129223578</v>
      </c>
      <c r="I161" s="173">
        <f t="shared" si="123"/>
        <v>8005.8047244230593</v>
      </c>
    </row>
    <row r="162" spans="1:9" ht="15" thickBot="1" x14ac:dyDescent="0.2">
      <c r="A162" s="80"/>
      <c r="B162" s="178"/>
      <c r="C162" s="178"/>
      <c r="D162" s="178"/>
      <c r="E162" s="178"/>
      <c r="F162" s="178"/>
      <c r="G162" s="178"/>
      <c r="H162" s="178"/>
    </row>
    <row r="163" spans="1:9" x14ac:dyDescent="0.15">
      <c r="A163" s="179"/>
      <c r="B163" s="180"/>
      <c r="C163" s="180"/>
      <c r="D163" s="180"/>
      <c r="E163" s="180"/>
      <c r="F163" s="180"/>
      <c r="G163" s="180"/>
      <c r="H163" s="180"/>
    </row>
    <row r="167" spans="1:9" x14ac:dyDescent="0.15">
      <c r="B167" s="25" t="s">
        <v>328</v>
      </c>
    </row>
  </sheetData>
  <sheetProtection algorithmName="SHA-512" hashValue="3rN7Dd1vi2GUMNlvr8cWEdrcJ7ASLi5bn61LYPykXE6F6M66qZLnqagoF0I8NkxEM5hZ2/Ir45hz4jyTocKHpw==" saltValue="IQgx5kuHyNLwQX2q6EcDxA==" spinCount="100000" sheet="1" formatCells="0" formatColumns="0" formatRows="0" insertColumns="0" insertRows="0" insertHyperlinks="0" deleteColumns="0" deleteRows="0" sort="0" autoFilter="0" pivotTables="0"/>
  <mergeCells count="1">
    <mergeCell ref="B158:D15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42"/>
  <sheetViews>
    <sheetView topLeftCell="A35" workbookViewId="0" xr3:uid="{958C4451-9541-5A59-BF78-D2F731DF1C81}">
      <selection activeCell="B8" sqref="B8:L48"/>
    </sheetView>
  </sheetViews>
  <sheetFormatPr defaultColWidth="10.8515625" defaultRowHeight="14.25" x14ac:dyDescent="0.15"/>
  <cols>
    <col min="1" max="2" width="10.8515625" style="25"/>
    <col min="3" max="3" width="15.66015625" style="25" customWidth="1"/>
    <col min="4" max="5" width="10.8515625" style="25"/>
    <col min="6" max="6" width="18.86328125" style="25" bestFit="1" customWidth="1"/>
    <col min="7" max="7" width="20.9609375" style="25" bestFit="1" customWidth="1"/>
    <col min="8" max="8" width="29.83984375" style="25" bestFit="1" customWidth="1"/>
    <col min="9" max="9" width="18.49609375" style="25" bestFit="1" customWidth="1"/>
    <col min="10" max="10" width="12.08203125" style="25" bestFit="1" customWidth="1"/>
    <col min="11" max="11" width="16.890625" style="25" bestFit="1" customWidth="1"/>
    <col min="12" max="16384" width="10.8515625" style="25"/>
  </cols>
  <sheetData>
    <row r="2" spans="3:10" x14ac:dyDescent="0.15">
      <c r="C2" s="138" t="s">
        <v>260</v>
      </c>
    </row>
    <row r="4" spans="3:10" x14ac:dyDescent="0.15">
      <c r="C4" s="213" t="s">
        <v>261</v>
      </c>
      <c r="D4" s="214"/>
      <c r="E4" s="214"/>
      <c r="F4" s="215">
        <v>2017</v>
      </c>
      <c r="G4" s="215">
        <f>+F4+1</f>
        <v>2018</v>
      </c>
      <c r="H4" s="215">
        <f t="shared" ref="H4:J4" si="0">+G4+1</f>
        <v>2019</v>
      </c>
      <c r="I4" s="215">
        <f t="shared" si="0"/>
        <v>2020</v>
      </c>
      <c r="J4" s="215">
        <f t="shared" si="0"/>
        <v>2021</v>
      </c>
    </row>
    <row r="6" spans="3:10" ht="15" thickBot="1" x14ac:dyDescent="0.2">
      <c r="C6" s="80" t="s">
        <v>329</v>
      </c>
      <c r="D6" s="80"/>
      <c r="E6" s="80"/>
      <c r="F6" s="191">
        <f>'Integrated financial statement'!B31</f>
        <v>12357</v>
      </c>
      <c r="G6" s="191">
        <f>'Integrated financial statement'!C31</f>
        <v>8778</v>
      </c>
      <c r="H6" s="191">
        <f>'Integrated financial statement'!D31</f>
        <v>10304</v>
      </c>
      <c r="I6" s="191">
        <f>'Integrated financial statement'!E31</f>
        <v>10201.378875257644</v>
      </c>
      <c r="J6" s="191">
        <f>'Integrated financial statement'!F31</f>
        <v>10588.03689472</v>
      </c>
    </row>
    <row r="8" spans="3:10" x14ac:dyDescent="0.15">
      <c r="C8" s="213" t="s">
        <v>262</v>
      </c>
      <c r="D8" s="214"/>
      <c r="E8" s="214"/>
      <c r="F8" s="214"/>
      <c r="G8" s="214"/>
      <c r="H8" s="214"/>
      <c r="I8" s="214"/>
      <c r="J8" s="214"/>
    </row>
    <row r="9" spans="3:10" ht="15" thickBot="1" x14ac:dyDescent="0.2"/>
    <row r="10" spans="3:10" ht="15" thickBot="1" x14ac:dyDescent="0.2">
      <c r="C10" s="133" t="s">
        <v>263</v>
      </c>
      <c r="D10" s="199">
        <f>WACC!G5</f>
        <v>5.091751797231342E-2</v>
      </c>
    </row>
    <row r="12" spans="3:10" x14ac:dyDescent="0.15">
      <c r="C12" s="213" t="s">
        <v>264</v>
      </c>
      <c r="D12" s="214"/>
      <c r="E12" s="214"/>
      <c r="F12" s="216">
        <f>F4</f>
        <v>2017</v>
      </c>
      <c r="G12" s="216">
        <f>G4</f>
        <v>2018</v>
      </c>
      <c r="H12" s="216">
        <f>H4</f>
        <v>2019</v>
      </c>
      <c r="I12" s="216">
        <f>I4</f>
        <v>2020</v>
      </c>
      <c r="J12" s="216">
        <f>J4</f>
        <v>2021</v>
      </c>
    </row>
    <row r="13" spans="3:10" x14ac:dyDescent="0.15">
      <c r="F13" s="192">
        <v>1</v>
      </c>
      <c r="G13" s="192">
        <f>F13+1</f>
        <v>2</v>
      </c>
      <c r="H13" s="192">
        <f t="shared" ref="H13:J13" si="1">G13+1</f>
        <v>3</v>
      </c>
      <c r="I13" s="192">
        <f t="shared" si="1"/>
        <v>4</v>
      </c>
      <c r="J13" s="192">
        <f t="shared" si="1"/>
        <v>5</v>
      </c>
    </row>
    <row r="14" spans="3:10" x14ac:dyDescent="0.15">
      <c r="D14" s="193"/>
    </row>
    <row r="15" spans="3:10" x14ac:dyDescent="0.15">
      <c r="C15" s="25" t="s">
        <v>265</v>
      </c>
      <c r="D15" s="194"/>
      <c r="F15" s="124">
        <f>1/((1+$D10)^F13)</f>
        <v>0.95154946311052468</v>
      </c>
      <c r="G15" s="124">
        <f>1/((1+$D10)^G13)</f>
        <v>0.90544638074592787</v>
      </c>
      <c r="H15" s="124">
        <f>1/((1+$D10)^H13)</f>
        <v>0.86157701747415538</v>
      </c>
      <c r="I15" s="124">
        <f>1/((1+$D10)^I13)</f>
        <v>0.81983314840589983</v>
      </c>
      <c r="J15" s="124">
        <f>1/((1+$D10)^J13)</f>
        <v>0.78011179220584514</v>
      </c>
    </row>
    <row r="17" spans="3:12" ht="15" thickBot="1" x14ac:dyDescent="0.2">
      <c r="C17" s="168" t="s">
        <v>266</v>
      </c>
      <c r="D17" s="168"/>
      <c r="E17" s="168"/>
      <c r="F17" s="178">
        <f>F6*F15</f>
        <v>11758.296715656754</v>
      </c>
      <c r="G17" s="178">
        <f>G6*G15</f>
        <v>7948.0083301877548</v>
      </c>
      <c r="H17" s="178">
        <f>H6*H15</f>
        <v>8877.6895880536977</v>
      </c>
      <c r="I17" s="178">
        <f>I6*I15</f>
        <v>8363.4285613839111</v>
      </c>
      <c r="J17" s="178">
        <f>J6*J15</f>
        <v>8259.852437881631</v>
      </c>
    </row>
    <row r="19" spans="3:12" x14ac:dyDescent="0.15">
      <c r="C19" s="213" t="s">
        <v>273</v>
      </c>
      <c r="D19" s="214"/>
      <c r="E19" s="214"/>
      <c r="F19" s="214"/>
      <c r="G19" s="214"/>
      <c r="H19" s="214"/>
      <c r="I19" s="214"/>
      <c r="J19" s="214"/>
    </row>
    <row r="21" spans="3:12" ht="15" thickBot="1" x14ac:dyDescent="0.2">
      <c r="C21" s="25" t="s">
        <v>263</v>
      </c>
      <c r="J21" s="181">
        <f>D10</f>
        <v>5.091751797231342E-2</v>
      </c>
    </row>
    <row r="22" spans="3:12" ht="15" thickBot="1" x14ac:dyDescent="0.2">
      <c r="C22" s="25" t="s">
        <v>267</v>
      </c>
      <c r="J22" s="199">
        <v>2.4E-2</v>
      </c>
      <c r="K22" s="25" t="s">
        <v>275</v>
      </c>
    </row>
    <row r="23" spans="3:12" x14ac:dyDescent="0.15">
      <c r="J23" s="200"/>
    </row>
    <row r="24" spans="3:12" x14ac:dyDescent="0.15">
      <c r="C24" s="133" t="s">
        <v>268</v>
      </c>
      <c r="J24" s="201">
        <f>(J6*(1+J22))/(J21-J22)</f>
        <v>402791.5869265956</v>
      </c>
    </row>
    <row r="26" spans="3:12" x14ac:dyDescent="0.15">
      <c r="C26" s="213" t="s">
        <v>274</v>
      </c>
      <c r="D26" s="214"/>
      <c r="E26" s="214"/>
      <c r="F26" s="214"/>
      <c r="G26" s="214"/>
      <c r="H26" s="214"/>
      <c r="I26" s="214"/>
      <c r="J26" s="214"/>
    </row>
    <row r="28" spans="3:12" ht="15" thickBot="1" x14ac:dyDescent="0.2">
      <c r="E28" s="202" t="s">
        <v>269</v>
      </c>
      <c r="G28" s="202" t="s">
        <v>270</v>
      </c>
      <c r="I28" s="202" t="s">
        <v>203</v>
      </c>
    </row>
    <row r="29" spans="3:12" ht="15" thickBot="1" x14ac:dyDescent="0.2">
      <c r="C29" s="181"/>
      <c r="E29" s="195">
        <f>SUM(F17:J17)</f>
        <v>45207.275633163743</v>
      </c>
      <c r="F29" s="196" t="s">
        <v>271</v>
      </c>
      <c r="G29" s="195">
        <f>J15*J24</f>
        <v>314222.46676274296</v>
      </c>
      <c r="H29" s="196" t="s">
        <v>272</v>
      </c>
      <c r="I29" s="203">
        <f>E29+G29</f>
        <v>359429.74239590671</v>
      </c>
      <c r="J29" s="25" t="s">
        <v>330</v>
      </c>
    </row>
    <row r="30" spans="3:12" x14ac:dyDescent="0.15">
      <c r="C30" s="181"/>
      <c r="E30" s="195"/>
      <c r="F30" s="196"/>
      <c r="G30" s="195"/>
      <c r="H30" s="196"/>
      <c r="I30" s="204">
        <f>I29*100000</f>
        <v>35942974239.590668</v>
      </c>
    </row>
    <row r="31" spans="3:12" x14ac:dyDescent="0.15">
      <c r="C31" s="205"/>
      <c r="G31" s="195"/>
      <c r="H31" s="227" t="s">
        <v>321</v>
      </c>
      <c r="I31" s="229">
        <v>21.83</v>
      </c>
      <c r="J31" s="30"/>
      <c r="K31" s="134"/>
      <c r="L31" s="182"/>
    </row>
    <row r="32" spans="3:12" x14ac:dyDescent="0.15">
      <c r="G32" s="276"/>
      <c r="L32" s="182"/>
    </row>
    <row r="33" spans="1:12" x14ac:dyDescent="0.15">
      <c r="L33" s="182"/>
    </row>
    <row r="34" spans="1:12" x14ac:dyDescent="0.15">
      <c r="H34" s="25" t="s">
        <v>313</v>
      </c>
      <c r="I34" s="79">
        <v>110810000000</v>
      </c>
      <c r="K34" s="182"/>
      <c r="L34" s="182"/>
    </row>
    <row r="35" spans="1:12" x14ac:dyDescent="0.15">
      <c r="H35" s="25" t="s">
        <v>314</v>
      </c>
      <c r="I35" s="79">
        <f>WACC!E22</f>
        <v>210609000000</v>
      </c>
      <c r="K35" s="182"/>
      <c r="L35" s="182"/>
    </row>
    <row r="36" spans="1:12" x14ac:dyDescent="0.15">
      <c r="G36" s="277" t="s">
        <v>39</v>
      </c>
      <c r="H36" s="25" t="s">
        <v>315</v>
      </c>
      <c r="I36" s="79">
        <f>238636000000</f>
        <v>238636000000</v>
      </c>
    </row>
    <row r="37" spans="1:12" x14ac:dyDescent="0.15">
      <c r="G37" s="277" t="s">
        <v>39</v>
      </c>
      <c r="H37" s="25" t="s">
        <v>318</v>
      </c>
      <c r="I37" s="79">
        <f>11203*100000</f>
        <v>1120300000</v>
      </c>
    </row>
    <row r="38" spans="1:12" ht="15" thickBot="1" x14ac:dyDescent="0.2">
      <c r="A38" s="206"/>
      <c r="B38" s="197"/>
      <c r="H38" s="25" t="s">
        <v>316</v>
      </c>
      <c r="I38" s="209">
        <f>I34+I35-I36-I37</f>
        <v>81662700000</v>
      </c>
    </row>
    <row r="39" spans="1:12" ht="15" thickTop="1" x14ac:dyDescent="0.15">
      <c r="I39" s="229">
        <f>I38+I30</f>
        <v>117605674239.59067</v>
      </c>
      <c r="J39" s="30" t="s">
        <v>326</v>
      </c>
    </row>
    <row r="40" spans="1:12" x14ac:dyDescent="0.15">
      <c r="A40" s="207"/>
      <c r="B40" s="198"/>
      <c r="F40" s="231" t="s">
        <v>311</v>
      </c>
      <c r="G40" s="231">
        <f>WACC!F16</f>
        <v>260.04000000000002</v>
      </c>
    </row>
    <row r="41" spans="1:12" x14ac:dyDescent="0.15">
      <c r="F41" s="227" t="s">
        <v>317</v>
      </c>
      <c r="G41" s="228">
        <f>I42</f>
        <v>285.16977063735811</v>
      </c>
      <c r="H41" s="25" t="s">
        <v>319</v>
      </c>
      <c r="I41" s="79">
        <v>412405824</v>
      </c>
    </row>
    <row r="42" spans="1:12" x14ac:dyDescent="0.15">
      <c r="F42" s="227" t="s">
        <v>323</v>
      </c>
      <c r="G42" s="232">
        <f>1-G40/G41</f>
        <v>8.8122140650436886E-2</v>
      </c>
      <c r="H42" s="227" t="s">
        <v>320</v>
      </c>
      <c r="I42" s="228">
        <f>I39/I41</f>
        <v>285.16977063735811</v>
      </c>
    </row>
  </sheetData>
  <sheetProtection algorithmName="SHA-512" hashValue="jSZz7Ghl/kmccOVn6zcVmpA17aoig7QKtVXhYuzO2CWUIoOYWViOAKaItUYqjJAFvivvqWRgjdSuT6g2N0w92g==" saltValue="9KIJI0VsKwOtpc+7ELubzw=="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24"/>
  <sheetViews>
    <sheetView workbookViewId="0" xr3:uid="{842E5F09-E766-5B8D-85AF-A39847EA96FD}">
      <selection activeCell="B2" sqref="B2:I24"/>
    </sheetView>
  </sheetViews>
  <sheetFormatPr defaultColWidth="10.8515625" defaultRowHeight="14.25" x14ac:dyDescent="0.15"/>
  <cols>
    <col min="1" max="1" width="10.8515625" style="25"/>
    <col min="2" max="2" width="15.90625" style="25" bestFit="1" customWidth="1"/>
    <col min="3" max="3" width="8.13671875" style="25" bestFit="1" customWidth="1"/>
    <col min="4" max="4" width="25.6484375" style="25" bestFit="1" customWidth="1"/>
    <col min="5" max="5" width="19.60546875" style="25" bestFit="1" customWidth="1"/>
    <col min="6" max="6" width="20.09765625" style="25" bestFit="1" customWidth="1"/>
    <col min="7" max="7" width="8.13671875" style="25" bestFit="1" customWidth="1"/>
    <col min="8" max="8" width="9.98828125" style="25" bestFit="1" customWidth="1"/>
    <col min="9" max="9" width="26.6328125" style="25" bestFit="1" customWidth="1"/>
    <col min="10" max="10" width="20.83984375" style="25" customWidth="1"/>
    <col min="11" max="11" width="10.8515625" style="25"/>
    <col min="12" max="12" width="20.58984375" style="25" customWidth="1"/>
    <col min="13" max="16384" width="10.8515625" style="25"/>
  </cols>
  <sheetData>
    <row r="2" spans="2:9" ht="15" thickBot="1" x14ac:dyDescent="0.2"/>
    <row r="3" spans="2:9" ht="15" thickBot="1" x14ac:dyDescent="0.2">
      <c r="B3" s="87"/>
      <c r="C3" s="88"/>
      <c r="D3" s="88" t="s">
        <v>298</v>
      </c>
      <c r="E3" s="89"/>
      <c r="F3" s="88"/>
      <c r="G3" s="88"/>
      <c r="H3" s="89"/>
      <c r="I3" s="89"/>
    </row>
    <row r="4" spans="2:9" ht="15" thickBot="1" x14ac:dyDescent="0.2">
      <c r="B4" s="42"/>
      <c r="C4" s="43"/>
      <c r="D4" s="43"/>
      <c r="E4" s="43"/>
      <c r="F4" s="43"/>
      <c r="G4" s="43"/>
      <c r="H4" s="43"/>
      <c r="I4" s="43"/>
    </row>
    <row r="5" spans="2:9" ht="15" thickBot="1" x14ac:dyDescent="0.2">
      <c r="F5" s="211" t="s">
        <v>277</v>
      </c>
      <c r="G5" s="212">
        <f>(1-F12)*F13*(F15/F19)+G14*(F18/F19)</f>
        <v>5.091751797231342E-2</v>
      </c>
    </row>
    <row r="7" spans="2:9" x14ac:dyDescent="0.15">
      <c r="B7" s="25">
        <v>2014</v>
      </c>
      <c r="E7" s="25" t="s">
        <v>284</v>
      </c>
    </row>
    <row r="8" spans="2:9" x14ac:dyDescent="0.15">
      <c r="B8" s="25" t="s">
        <v>282</v>
      </c>
      <c r="C8" s="110">
        <f>'Integrated financial statement'!B34</f>
        <v>0.314</v>
      </c>
      <c r="E8" s="25" t="s">
        <v>142</v>
      </c>
      <c r="F8" s="110">
        <f>AVERAGE(C8:C14)</f>
        <v>0.30099999999999999</v>
      </c>
      <c r="G8" s="25" t="s">
        <v>285</v>
      </c>
    </row>
    <row r="9" spans="2:9" x14ac:dyDescent="0.15">
      <c r="F9" s="25">
        <v>0.30099999999999999</v>
      </c>
    </row>
    <row r="10" spans="2:9" x14ac:dyDescent="0.15">
      <c r="B10" s="25">
        <v>2015</v>
      </c>
      <c r="E10" s="25" t="s">
        <v>283</v>
      </c>
    </row>
    <row r="11" spans="2:9" x14ac:dyDescent="0.15">
      <c r="B11" s="25" t="s">
        <v>282</v>
      </c>
      <c r="C11" s="110">
        <f>'Integrated financial statement'!C34</f>
        <v>0.307</v>
      </c>
      <c r="E11" s="25" t="s">
        <v>142</v>
      </c>
      <c r="F11" s="110">
        <f>'Integrated financial statement'!N9</f>
        <v>0.21</v>
      </c>
      <c r="G11" s="25" t="s">
        <v>285</v>
      </c>
    </row>
    <row r="12" spans="2:9" x14ac:dyDescent="0.15">
      <c r="F12" s="25">
        <v>0.21</v>
      </c>
    </row>
    <row r="13" spans="2:9" x14ac:dyDescent="0.15">
      <c r="B13" s="25">
        <v>2016</v>
      </c>
      <c r="E13" s="25" t="s">
        <v>285</v>
      </c>
      <c r="F13" s="25">
        <v>3.3000000000000002E-2</v>
      </c>
      <c r="H13" s="25" t="s">
        <v>291</v>
      </c>
      <c r="I13" s="25" t="s">
        <v>292</v>
      </c>
    </row>
    <row r="14" spans="2:9" x14ac:dyDescent="0.15">
      <c r="B14" s="25" t="s">
        <v>282</v>
      </c>
      <c r="C14" s="110">
        <f>'Integrated financial statement'!D34</f>
        <v>0.28199999999999997</v>
      </c>
      <c r="E14" s="25" t="s">
        <v>286</v>
      </c>
      <c r="F14" s="110">
        <f>CAPM!D8</f>
        <v>0.29475890000000005</v>
      </c>
      <c r="G14" s="25">
        <v>0.29480000000000001</v>
      </c>
    </row>
    <row r="15" spans="2:9" x14ac:dyDescent="0.15">
      <c r="E15" s="25" t="s">
        <v>289</v>
      </c>
      <c r="F15" s="79">
        <f>E23</f>
        <v>1052598000000</v>
      </c>
    </row>
    <row r="16" spans="2:9" x14ac:dyDescent="0.15">
      <c r="B16" s="25">
        <v>2017</v>
      </c>
      <c r="E16" s="25" t="s">
        <v>287</v>
      </c>
      <c r="F16" s="25">
        <v>260.04000000000002</v>
      </c>
    </row>
    <row r="17" spans="2:6" x14ac:dyDescent="0.15">
      <c r="B17" s="25" t="s">
        <v>282</v>
      </c>
      <c r="C17" s="110">
        <f>'Integrated financial statement'!N9</f>
        <v>0.21</v>
      </c>
      <c r="E17" s="25" t="s">
        <v>288</v>
      </c>
      <c r="F17" s="79">
        <f>377200000+'Treasury Stock'!E11</f>
        <v>412405824.48623288</v>
      </c>
    </row>
    <row r="18" spans="2:6" x14ac:dyDescent="0.15">
      <c r="E18" s="25" t="s">
        <v>297</v>
      </c>
      <c r="F18" s="79">
        <f>F16*F17</f>
        <v>107242010599.40001</v>
      </c>
    </row>
    <row r="19" spans="2:6" x14ac:dyDescent="0.15">
      <c r="E19" s="25" t="s">
        <v>290</v>
      </c>
      <c r="F19" s="210">
        <f>F15+F18</f>
        <v>1159840010599.3999</v>
      </c>
    </row>
    <row r="21" spans="2:6" x14ac:dyDescent="0.15">
      <c r="C21" s="25" t="s">
        <v>293</v>
      </c>
      <c r="D21" s="25" t="s">
        <v>294</v>
      </c>
      <c r="E21" s="79">
        <f>841989000*1000</f>
        <v>841989000000</v>
      </c>
    </row>
    <row r="22" spans="2:6" x14ac:dyDescent="0.15">
      <c r="D22" s="25" t="s">
        <v>295</v>
      </c>
      <c r="E22" s="79">
        <f>210609000000</f>
        <v>210609000000</v>
      </c>
    </row>
    <row r="23" spans="2:6" ht="15" thickBot="1" x14ac:dyDescent="0.2">
      <c r="D23" s="208" t="s">
        <v>296</v>
      </c>
      <c r="E23" s="209">
        <f>E22+E21</f>
        <v>1052598000000</v>
      </c>
    </row>
    <row r="24" spans="2:6" ht="15" thickTop="1" x14ac:dyDescent="0.15"/>
  </sheetData>
  <sheetProtection algorithmName="SHA-512" hashValue="/mhbkiAjd0I2ZcO5zdKD9zOR0StBOcjuA1fkpF4T6uD449hVGfPcTruwzpTrSE0m8P6pAAdbPGIMPwkrCXa9+A==" saltValue="uJn9yg3xnifJQ9wP+N3aaA=="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H8"/>
  <sheetViews>
    <sheetView workbookViewId="0" xr3:uid="{51F8DEE0-4D01-5F28-A812-FC0BD7CAC4A5}">
      <selection activeCell="C2" sqref="C2:I10"/>
    </sheetView>
  </sheetViews>
  <sheetFormatPr defaultColWidth="10.8515625" defaultRowHeight="14.25" x14ac:dyDescent="0.15"/>
  <cols>
    <col min="1" max="2" width="10.8515625" style="25"/>
    <col min="3" max="3" width="32.5546875" style="25" bestFit="1" customWidth="1"/>
    <col min="4" max="4" width="11.58984375" style="25" bestFit="1" customWidth="1"/>
    <col min="5" max="5" width="13.80859375" style="25" bestFit="1" customWidth="1"/>
    <col min="6" max="6" width="8.13671875" style="25" bestFit="1" customWidth="1"/>
    <col min="7" max="16384" width="10.8515625" style="25"/>
  </cols>
  <sheetData>
    <row r="1" spans="3:8" ht="15" thickBot="1" x14ac:dyDescent="0.2"/>
    <row r="2" spans="3:8" ht="15" thickBot="1" x14ac:dyDescent="0.2">
      <c r="C2" s="87" t="s">
        <v>305</v>
      </c>
      <c r="D2" s="88"/>
      <c r="E2" s="88"/>
      <c r="F2" s="89"/>
      <c r="G2" s="88"/>
      <c r="H2" s="88"/>
    </row>
    <row r="4" spans="3:8" x14ac:dyDescent="0.15">
      <c r="C4" s="25" t="s">
        <v>299</v>
      </c>
      <c r="D4" s="25">
        <v>2.8410000000000001E-2</v>
      </c>
      <c r="E4" s="25" t="s">
        <v>300</v>
      </c>
      <c r="F4" s="110">
        <v>2.8410000000000001E-2</v>
      </c>
    </row>
    <row r="5" spans="3:8" x14ac:dyDescent="0.15">
      <c r="C5" s="25" t="s">
        <v>276</v>
      </c>
      <c r="D5" s="25">
        <v>1.51</v>
      </c>
      <c r="E5" s="25" t="s">
        <v>301</v>
      </c>
    </row>
    <row r="6" spans="3:8" x14ac:dyDescent="0.15">
      <c r="C6" s="25" t="s">
        <v>302</v>
      </c>
      <c r="D6" s="25">
        <v>0.20480000000000001</v>
      </c>
      <c r="E6" s="25" t="s">
        <v>304</v>
      </c>
      <c r="F6" s="110">
        <v>0.20480000000000001</v>
      </c>
    </row>
    <row r="7" spans="3:8" x14ac:dyDescent="0.15">
      <c r="C7" s="25" t="s">
        <v>303</v>
      </c>
      <c r="D7" s="25">
        <f>D4+(D5*(D6-D4))</f>
        <v>0.29475890000000005</v>
      </c>
    </row>
    <row r="8" spans="3:8" x14ac:dyDescent="0.15">
      <c r="D8" s="110">
        <f>D7</f>
        <v>0.29475890000000005</v>
      </c>
    </row>
  </sheetData>
  <sheetProtection algorithmName="SHA-512" hashValue="LFxuv3uzPq1XnFSFywOX6cEBrhK4SPifI8nz5cETDDfuyYsHZ6b+NN7UBlwXV/hH/ljq6Mt3FChv9VXPWwUbnQ==" saltValue="smaOvq53WyrRohyC7JmQ/g==" spinCount="100000" sheet="1"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sheetPr>
  <dimension ref="A1:F43"/>
  <sheetViews>
    <sheetView topLeftCell="A42" zoomScale="150" zoomScaleNormal="150" workbookViewId="0" xr3:uid="{F9CF3CF3-643B-5BE6-8B46-32C596A47465}">
      <selection sqref="A1:F44"/>
    </sheetView>
  </sheetViews>
  <sheetFormatPr defaultColWidth="10.8515625" defaultRowHeight="15" x14ac:dyDescent="0.2"/>
  <cols>
    <col min="1" max="1" width="44.8828125" style="34" customWidth="1"/>
    <col min="2" max="4" width="12.82421875" style="34" customWidth="1"/>
    <col min="5" max="5" width="0" style="34" hidden="1" customWidth="1"/>
    <col min="6" max="6" width="10.8515625" style="24"/>
    <col min="7" max="248" width="8.875" style="34" customWidth="1"/>
    <col min="249" max="16384" width="10.8515625" style="34"/>
  </cols>
  <sheetData>
    <row r="1" spans="1:5" x14ac:dyDescent="0.2">
      <c r="A1" s="23" t="s">
        <v>34</v>
      </c>
      <c r="D1" s="23"/>
    </row>
    <row r="2" spans="1:5" x14ac:dyDescent="0.2">
      <c r="A2" s="23" t="s">
        <v>33</v>
      </c>
      <c r="D2" s="23"/>
    </row>
    <row r="3" spans="1:5" x14ac:dyDescent="0.2">
      <c r="A3" s="23" t="s">
        <v>32</v>
      </c>
      <c r="D3" s="23"/>
    </row>
    <row r="4" spans="1:5" x14ac:dyDescent="0.2">
      <c r="A4" s="35" t="s">
        <v>107</v>
      </c>
    </row>
    <row r="5" spans="1:5" x14ac:dyDescent="0.2">
      <c r="A5" s="36" t="s">
        <v>30</v>
      </c>
      <c r="B5" s="35"/>
      <c r="C5" s="35"/>
      <c r="D5" s="35"/>
      <c r="E5" s="35"/>
    </row>
    <row r="6" spans="1:5" ht="12" customHeight="1" thickBot="1" x14ac:dyDescent="0.25">
      <c r="B6" s="37"/>
      <c r="C6" s="37"/>
      <c r="D6" s="37"/>
      <c r="E6" s="38"/>
    </row>
    <row r="7" spans="1:5" ht="16.5" thickBot="1" x14ac:dyDescent="0.25">
      <c r="A7" s="39" t="s">
        <v>124</v>
      </c>
      <c r="B7" s="40">
        <v>2014</v>
      </c>
      <c r="C7" s="40">
        <v>2015</v>
      </c>
      <c r="D7" s="41">
        <v>2016</v>
      </c>
      <c r="E7" s="38"/>
    </row>
    <row r="8" spans="1:5" x14ac:dyDescent="0.2">
      <c r="A8" s="42" t="s">
        <v>29</v>
      </c>
      <c r="B8" s="43"/>
      <c r="C8" s="43"/>
      <c r="D8" s="43"/>
      <c r="E8" s="35"/>
    </row>
    <row r="9" spans="1:5" x14ac:dyDescent="0.2">
      <c r="A9" s="35" t="s">
        <v>28</v>
      </c>
      <c r="B9" s="45">
        <v>6464</v>
      </c>
      <c r="C9" s="45">
        <v>7027</v>
      </c>
      <c r="D9" s="45">
        <v>6273</v>
      </c>
      <c r="E9" s="35"/>
    </row>
    <row r="10" spans="1:5" x14ac:dyDescent="0.2">
      <c r="A10" s="36" t="s">
        <v>27</v>
      </c>
      <c r="B10" s="65">
        <v>5748</v>
      </c>
      <c r="C10" s="65">
        <v>5868</v>
      </c>
      <c r="D10" s="65">
        <v>5407</v>
      </c>
      <c r="E10" s="35"/>
    </row>
    <row r="11" spans="1:5" x14ac:dyDescent="0.2">
      <c r="A11" s="36" t="s">
        <v>26</v>
      </c>
      <c r="B11" s="65">
        <v>3316</v>
      </c>
      <c r="C11" s="65">
        <v>3320</v>
      </c>
      <c r="D11" s="65">
        <v>3208</v>
      </c>
      <c r="E11" s="35"/>
    </row>
    <row r="12" spans="1:5" x14ac:dyDescent="0.2">
      <c r="A12" s="36" t="s">
        <v>25</v>
      </c>
      <c r="B12" s="65">
        <v>8365</v>
      </c>
      <c r="C12" s="65">
        <v>9523</v>
      </c>
      <c r="D12" s="65">
        <v>9933</v>
      </c>
      <c r="E12" s="35"/>
    </row>
    <row r="13" spans="1:5" ht="15.75" thickBot="1" x14ac:dyDescent="0.25">
      <c r="A13" s="38" t="s">
        <v>24</v>
      </c>
      <c r="B13" s="49">
        <v>6588</v>
      </c>
      <c r="C13" s="49">
        <v>5018</v>
      </c>
      <c r="D13" s="49">
        <v>3200</v>
      </c>
      <c r="E13" s="38"/>
    </row>
    <row r="14" spans="1:5" x14ac:dyDescent="0.2">
      <c r="A14" s="66" t="s">
        <v>23</v>
      </c>
      <c r="B14" s="67">
        <f>B13+B12+B11+B10+B9</f>
        <v>30481</v>
      </c>
      <c r="C14" s="67">
        <f>C13+C12+C11+C10+C9</f>
        <v>30756</v>
      </c>
      <c r="D14" s="67">
        <f>D13+D12+D11+D10+D9</f>
        <v>28021</v>
      </c>
      <c r="E14" s="35"/>
    </row>
    <row r="15" spans="1:5" x14ac:dyDescent="0.2">
      <c r="A15" s="35" t="s">
        <v>22</v>
      </c>
      <c r="B15" s="47">
        <v>9604</v>
      </c>
      <c r="C15" s="47">
        <v>8452</v>
      </c>
      <c r="D15" s="47">
        <v>9691</v>
      </c>
      <c r="E15" s="35"/>
    </row>
    <row r="16" spans="1:5" ht="15.75" thickBot="1" x14ac:dyDescent="0.25">
      <c r="A16" s="38" t="s">
        <v>21</v>
      </c>
      <c r="B16" s="69">
        <v>5557</v>
      </c>
      <c r="C16" s="69">
        <v>5388</v>
      </c>
      <c r="D16" s="70">
        <v>7104</v>
      </c>
      <c r="E16" s="38"/>
    </row>
    <row r="17" spans="1:6" ht="15.75" thickBot="1" x14ac:dyDescent="0.25">
      <c r="A17" s="38" t="s">
        <v>20</v>
      </c>
      <c r="B17" s="50">
        <f>B15-B16</f>
        <v>4047</v>
      </c>
      <c r="C17" s="50">
        <f>C15-C16</f>
        <v>3064</v>
      </c>
      <c r="D17" s="50">
        <f>D15-D16</f>
        <v>2587</v>
      </c>
      <c r="E17" s="38"/>
    </row>
    <row r="18" spans="1:6" thickBot="1" x14ac:dyDescent="0.2">
      <c r="A18" s="38" t="s">
        <v>19</v>
      </c>
      <c r="B18" s="70">
        <f>B14+B17</f>
        <v>34528</v>
      </c>
      <c r="C18" s="70">
        <f>C14+C17</f>
        <v>33820</v>
      </c>
      <c r="D18" s="70">
        <f>D14+D17</f>
        <v>30608</v>
      </c>
      <c r="E18" s="38"/>
      <c r="F18" s="34"/>
    </row>
    <row r="19" spans="1:6" ht="14.25" x14ac:dyDescent="0.15">
      <c r="A19" s="36" t="s">
        <v>105</v>
      </c>
      <c r="B19" s="51" t="s">
        <v>106</v>
      </c>
      <c r="C19" s="51">
        <f>(C9/B9)-1</f>
        <v>8.7097772277227703E-2</v>
      </c>
      <c r="D19" s="51">
        <f>(D9/$B$9)-1</f>
        <v>-2.9548267326732658E-2</v>
      </c>
      <c r="E19" s="36"/>
      <c r="F19" s="34"/>
    </row>
    <row r="20" spans="1:6" ht="14.25" x14ac:dyDescent="0.15">
      <c r="A20" s="42" t="s">
        <v>18</v>
      </c>
      <c r="B20" s="43"/>
      <c r="C20" s="43"/>
      <c r="D20" s="43"/>
      <c r="E20" s="35"/>
      <c r="F20" s="34"/>
    </row>
    <row r="21" spans="1:6" ht="14.25" x14ac:dyDescent="0.15">
      <c r="A21" s="76" t="s">
        <v>17</v>
      </c>
      <c r="B21" s="77">
        <v>12691</v>
      </c>
      <c r="C21" s="77">
        <v>12678</v>
      </c>
      <c r="D21" s="77">
        <v>11647</v>
      </c>
      <c r="E21" s="35"/>
      <c r="F21" s="34"/>
    </row>
    <row r="22" spans="1:6" ht="28.5" x14ac:dyDescent="0.15">
      <c r="A22" s="52" t="s">
        <v>16</v>
      </c>
      <c r="B22" s="47">
        <v>2501</v>
      </c>
      <c r="C22" s="47">
        <v>2576</v>
      </c>
      <c r="D22" s="47">
        <v>2555</v>
      </c>
      <c r="E22" s="35"/>
      <c r="F22" s="34"/>
    </row>
    <row r="23" spans="1:6" ht="14.25" x14ac:dyDescent="0.15">
      <c r="A23" s="35" t="s">
        <v>15</v>
      </c>
      <c r="B23" s="47">
        <v>549</v>
      </c>
      <c r="C23" s="47">
        <v>557</v>
      </c>
      <c r="D23" s="47">
        <v>457</v>
      </c>
      <c r="E23" s="35"/>
      <c r="F23" s="34"/>
    </row>
    <row r="24" spans="1:6" ht="14.25" x14ac:dyDescent="0.15">
      <c r="A24" s="35" t="s">
        <v>14</v>
      </c>
      <c r="B24" s="47">
        <v>779</v>
      </c>
      <c r="C24" s="47">
        <v>806</v>
      </c>
      <c r="D24" s="47">
        <v>809</v>
      </c>
      <c r="E24" s="35"/>
      <c r="F24" s="34"/>
    </row>
    <row r="25" spans="1:6" ht="14.25" x14ac:dyDescent="0.15">
      <c r="A25" s="35" t="s">
        <v>13</v>
      </c>
      <c r="B25" s="71">
        <v>1337</v>
      </c>
      <c r="C25" s="71">
        <v>991</v>
      </c>
      <c r="D25" s="71">
        <v>998</v>
      </c>
      <c r="E25" s="35"/>
      <c r="F25" s="34"/>
    </row>
    <row r="26" spans="1:6" ht="14.25" x14ac:dyDescent="0.15">
      <c r="A26" s="35" t="s">
        <v>12</v>
      </c>
      <c r="B26" s="47">
        <v>827</v>
      </c>
      <c r="C26" s="47">
        <v>772</v>
      </c>
      <c r="D26" s="47">
        <v>788</v>
      </c>
      <c r="E26" s="35"/>
      <c r="F26" s="34"/>
    </row>
    <row r="27" spans="1:6" ht="14.25" x14ac:dyDescent="0.15">
      <c r="A27" s="35" t="s">
        <v>11</v>
      </c>
      <c r="B27" s="47">
        <v>902</v>
      </c>
      <c r="C27" s="47">
        <v>963</v>
      </c>
      <c r="D27" s="47">
        <v>882</v>
      </c>
      <c r="E27" s="35"/>
      <c r="F27" s="34"/>
    </row>
    <row r="28" spans="1:6" thickBot="1" x14ac:dyDescent="0.2">
      <c r="A28" s="38" t="s">
        <v>10</v>
      </c>
      <c r="B28" s="49">
        <v>2585</v>
      </c>
      <c r="C28" s="49">
        <v>5699</v>
      </c>
      <c r="D28" s="49">
        <v>2168</v>
      </c>
      <c r="E28" s="38"/>
      <c r="F28" s="34"/>
    </row>
    <row r="29" spans="1:6" thickBot="1" x14ac:dyDescent="0.2">
      <c r="A29" s="38" t="s">
        <v>9</v>
      </c>
      <c r="B29" s="50">
        <f>B22+B23+B24+B25+B26+B27+B28</f>
        <v>9480</v>
      </c>
      <c r="C29" s="50">
        <f>C22+C23+C24+C25+C26+C27+C28</f>
        <v>12364</v>
      </c>
      <c r="D29" s="50">
        <f>D22+D23+D24+D25+D26+D27+D28</f>
        <v>8657</v>
      </c>
      <c r="E29" s="38"/>
      <c r="F29" s="34"/>
    </row>
    <row r="30" spans="1:6" thickBot="1" x14ac:dyDescent="0.2">
      <c r="A30" s="38" t="s">
        <v>8</v>
      </c>
      <c r="B30" s="70">
        <f>B29+B21</f>
        <v>22171</v>
      </c>
      <c r="C30" s="70">
        <f>C29+C21</f>
        <v>25042</v>
      </c>
      <c r="D30" s="70">
        <f>D29+D21</f>
        <v>20304</v>
      </c>
      <c r="E30" s="38"/>
      <c r="F30" s="34"/>
    </row>
    <row r="31" spans="1:6" ht="14.25" x14ac:dyDescent="0.15">
      <c r="A31" s="36" t="s">
        <v>104</v>
      </c>
      <c r="B31" s="53">
        <f>B30/B18</f>
        <v>0.64211654309545874</v>
      </c>
      <c r="C31" s="53">
        <f>C30/C18</f>
        <v>0.74044943820224718</v>
      </c>
      <c r="D31" s="53">
        <f>D30/D18</f>
        <v>0.66335598536330376</v>
      </c>
      <c r="E31" s="36"/>
      <c r="F31" s="34"/>
    </row>
    <row r="32" spans="1:6" ht="14.25" x14ac:dyDescent="0.15">
      <c r="A32" s="35" t="s">
        <v>102</v>
      </c>
      <c r="B32" s="48">
        <f>B18-B30</f>
        <v>12357</v>
      </c>
      <c r="C32" s="48">
        <f>C18-C30</f>
        <v>8778</v>
      </c>
      <c r="D32" s="48">
        <f>D18-D30</f>
        <v>10304</v>
      </c>
      <c r="E32" s="35"/>
      <c r="F32" s="34"/>
    </row>
    <row r="33" spans="1:6" thickBot="1" x14ac:dyDescent="0.2">
      <c r="A33" s="38" t="s">
        <v>7</v>
      </c>
      <c r="B33" s="69">
        <v>3880</v>
      </c>
      <c r="C33" s="69">
        <v>2695</v>
      </c>
      <c r="D33" s="70">
        <v>2906</v>
      </c>
      <c r="E33" s="38"/>
      <c r="F33" s="34"/>
    </row>
    <row r="34" spans="1:6" ht="14.25" x14ac:dyDescent="0.15">
      <c r="A34" s="35" t="s">
        <v>6</v>
      </c>
      <c r="B34" s="48">
        <f>B32-B33</f>
        <v>8477</v>
      </c>
      <c r="C34" s="48">
        <f>C32-C33</f>
        <v>6083</v>
      </c>
      <c r="D34" s="48">
        <f>D32-D33</f>
        <v>7398</v>
      </c>
      <c r="E34" s="35"/>
      <c r="F34" s="34"/>
    </row>
    <row r="35" spans="1:6" thickBot="1" x14ac:dyDescent="0.2">
      <c r="A35" s="38" t="s">
        <v>5</v>
      </c>
      <c r="B35" s="49">
        <v>400</v>
      </c>
      <c r="C35" s="49">
        <v>515</v>
      </c>
      <c r="D35" s="50">
        <v>311</v>
      </c>
      <c r="E35" s="38"/>
      <c r="F35" s="34"/>
    </row>
    <row r="36" spans="1:6" ht="29.25" thickBot="1" x14ac:dyDescent="0.2">
      <c r="A36" s="54" t="s">
        <v>4</v>
      </c>
      <c r="B36" s="55">
        <f>B34-B35</f>
        <v>8077</v>
      </c>
      <c r="C36" s="55">
        <f>C34-C35</f>
        <v>5568</v>
      </c>
      <c r="D36" s="55">
        <f>D34-D35</f>
        <v>7087</v>
      </c>
      <c r="E36" s="38"/>
      <c r="F36" s="34"/>
    </row>
    <row r="37" spans="1:6" ht="14.25" x14ac:dyDescent="0.15">
      <c r="A37" s="44" t="s">
        <v>3</v>
      </c>
      <c r="B37" s="35"/>
      <c r="C37" s="35"/>
      <c r="D37" s="35"/>
      <c r="E37" s="35"/>
      <c r="F37" s="34"/>
    </row>
    <row r="38" spans="1:6" ht="14.25" x14ac:dyDescent="0.15">
      <c r="A38" s="35" t="s">
        <v>1</v>
      </c>
      <c r="B38" s="45">
        <v>17.55</v>
      </c>
      <c r="C38" s="45">
        <v>12.35</v>
      </c>
      <c r="D38" s="46">
        <v>16.53</v>
      </c>
      <c r="E38" s="35"/>
      <c r="F38" s="34"/>
    </row>
    <row r="39" spans="1:6" ht="14.25" x14ac:dyDescent="0.15">
      <c r="A39" s="35" t="s">
        <v>0</v>
      </c>
      <c r="B39" s="56">
        <v>17.07</v>
      </c>
      <c r="C39" s="56">
        <v>12.14</v>
      </c>
      <c r="D39" s="57">
        <v>16.29</v>
      </c>
      <c r="E39" s="35"/>
      <c r="F39" s="34"/>
    </row>
    <row r="40" spans="1:6" ht="14.25" x14ac:dyDescent="0.15">
      <c r="A40" s="44" t="s">
        <v>2</v>
      </c>
      <c r="B40" s="35"/>
      <c r="C40" s="35"/>
      <c r="D40" s="35"/>
      <c r="E40" s="35"/>
      <c r="F40" s="34"/>
    </row>
    <row r="41" spans="1:6" ht="14.25" x14ac:dyDescent="0.15">
      <c r="A41" s="35" t="s">
        <v>1</v>
      </c>
      <c r="B41" s="56">
        <v>458.9</v>
      </c>
      <c r="C41" s="56">
        <v>448.9</v>
      </c>
      <c r="D41" s="57">
        <v>427.4</v>
      </c>
      <c r="E41" s="35"/>
      <c r="F41" s="34"/>
    </row>
    <row r="42" spans="1:6" thickBot="1" x14ac:dyDescent="0.2">
      <c r="A42" s="38" t="s">
        <v>0</v>
      </c>
      <c r="B42" s="58">
        <v>473.2</v>
      </c>
      <c r="C42" s="58">
        <v>458.6</v>
      </c>
      <c r="D42" s="59">
        <v>435.1</v>
      </c>
      <c r="E42" s="38"/>
      <c r="F42" s="34"/>
    </row>
    <row r="43" spans="1:6" ht="14.25" x14ac:dyDescent="0.15">
      <c r="A43" s="60" t="s">
        <v>103</v>
      </c>
      <c r="B43" s="61">
        <f>B32-B25</f>
        <v>11020</v>
      </c>
      <c r="C43" s="61">
        <f>C32-C25</f>
        <v>7787</v>
      </c>
      <c r="D43" s="61">
        <f>D32-D25</f>
        <v>9306</v>
      </c>
      <c r="F43" s="34"/>
    </row>
  </sheetData>
  <sheetProtection algorithmName="SHA-512" hashValue="j6jcr+I7tKQmHgq9NrAnfSduZaa7pyCy6/mL4lOzzSFu8hif6h4bfgOLAGBdRzRpHybDqSdT36nwBs05Oc5Wxw==" saltValue="RfvOWO62DTr2CgbNoyuZdw==" spinCount="100000" sheet="1" formatCells="0" formatColumns="0" formatRows="0" insertColumns="0" insertRows="0" insertHyperlinks="0" deleteColumns="0" deleteRows="0" sort="0" autoFilter="0" pivotTables="0"/>
  <pageMargins left="0.2" right="0.2" top="0.5" bottom="0.5" header="0.5" footer="0.5"/>
  <pageSetup fitToWidth="0" fitToHeight="0" orientation="landscape" horizontalDpi="0" verticalDpi="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zoomScale="150" zoomScaleNormal="150" workbookViewId="0" xr3:uid="{78B4E459-6924-5F8B-B7BA-2DD04133E49E}">
      <selection activeCell="C46" sqref="A1:C46"/>
    </sheetView>
  </sheetViews>
  <sheetFormatPr defaultColWidth="46.48828125" defaultRowHeight="14.25" x14ac:dyDescent="0.15"/>
  <cols>
    <col min="1" max="1" width="67.8203125" style="25" customWidth="1"/>
    <col min="2" max="3" width="10.48046875" style="25" bestFit="1" customWidth="1"/>
    <col min="4" max="16384" width="46.48828125" style="25"/>
  </cols>
  <sheetData>
    <row r="1" spans="1:3" x14ac:dyDescent="0.15">
      <c r="A1" s="23" t="s">
        <v>34</v>
      </c>
    </row>
    <row r="2" spans="1:3" x14ac:dyDescent="0.15">
      <c r="A2" s="23" t="s">
        <v>33</v>
      </c>
    </row>
    <row r="3" spans="1:3" x14ac:dyDescent="0.15">
      <c r="A3" s="23" t="s">
        <v>125</v>
      </c>
    </row>
    <row r="4" spans="1:3" x14ac:dyDescent="0.15">
      <c r="A4" s="25" t="s">
        <v>101</v>
      </c>
    </row>
    <row r="5" spans="1:3" ht="15" thickBot="1" x14ac:dyDescent="0.2">
      <c r="A5" s="25" t="s">
        <v>100</v>
      </c>
    </row>
    <row r="6" spans="1:3" ht="15" thickBot="1" x14ac:dyDescent="0.2">
      <c r="A6" s="62" t="s">
        <v>123</v>
      </c>
      <c r="B6" s="63">
        <v>2013</v>
      </c>
      <c r="C6" s="64">
        <v>2014</v>
      </c>
    </row>
    <row r="7" spans="1:3" x14ac:dyDescent="0.15">
      <c r="A7" s="26" t="s">
        <v>76</v>
      </c>
      <c r="B7" s="27"/>
      <c r="C7" s="27"/>
    </row>
    <row r="8" spans="1:3" x14ac:dyDescent="0.15">
      <c r="A8" s="25" t="s">
        <v>81</v>
      </c>
      <c r="B8" s="72">
        <v>61133</v>
      </c>
      <c r="C8" s="72">
        <v>57600</v>
      </c>
    </row>
    <row r="9" spans="1:3" x14ac:dyDescent="0.15">
      <c r="A9" s="25" t="s">
        <v>126</v>
      </c>
      <c r="B9" s="72">
        <v>49671</v>
      </c>
      <c r="C9" s="72">
        <v>51716</v>
      </c>
    </row>
    <row r="10" spans="1:3" x14ac:dyDescent="0.15">
      <c r="A10" s="25" t="s">
        <v>77</v>
      </c>
    </row>
    <row r="11" spans="1:3" x14ac:dyDescent="0.15">
      <c r="A11" s="25" t="s">
        <v>127</v>
      </c>
      <c r="B11" s="73">
        <v>161732</v>
      </c>
      <c r="C11" s="73">
        <v>127938</v>
      </c>
    </row>
    <row r="12" spans="1:3" x14ac:dyDescent="0.15">
      <c r="A12" s="25" t="s">
        <v>128</v>
      </c>
      <c r="B12" s="73">
        <v>164566</v>
      </c>
      <c r="C12" s="73">
        <v>160722</v>
      </c>
    </row>
    <row r="13" spans="1:3" x14ac:dyDescent="0.15">
      <c r="A13" s="26" t="s">
        <v>78</v>
      </c>
      <c r="B13" s="27"/>
      <c r="C13" s="27"/>
    </row>
    <row r="14" spans="1:3" x14ac:dyDescent="0.15">
      <c r="A14" s="25" t="s">
        <v>82</v>
      </c>
      <c r="B14" s="73">
        <v>23840</v>
      </c>
      <c r="C14" s="73">
        <v>30671</v>
      </c>
    </row>
    <row r="15" spans="1:3" x14ac:dyDescent="0.15">
      <c r="A15" s="25" t="s">
        <v>129</v>
      </c>
      <c r="B15" s="73">
        <v>74040</v>
      </c>
      <c r="C15" s="73">
        <v>63808</v>
      </c>
    </row>
    <row r="16" spans="1:3" x14ac:dyDescent="0.15">
      <c r="A16" s="25" t="s">
        <v>83</v>
      </c>
      <c r="B16" s="73">
        <v>14895</v>
      </c>
      <c r="C16" s="73">
        <v>28938</v>
      </c>
    </row>
    <row r="17" spans="1:3" x14ac:dyDescent="0.15">
      <c r="A17" s="25" t="s">
        <v>130</v>
      </c>
      <c r="B17" s="73">
        <v>339121</v>
      </c>
      <c r="C17" s="73">
        <v>312248</v>
      </c>
    </row>
    <row r="18" spans="1:3" x14ac:dyDescent="0.15">
      <c r="A18" s="25" t="s">
        <v>131</v>
      </c>
      <c r="B18" s="73">
        <v>22509</v>
      </c>
      <c r="C18" s="73">
        <v>22599</v>
      </c>
    </row>
    <row r="19" spans="1:3" x14ac:dyDescent="0.15">
      <c r="A19" s="28" t="s">
        <v>99</v>
      </c>
      <c r="B19" s="29">
        <f>SUM(B8:B18)</f>
        <v>911507</v>
      </c>
      <c r="C19" s="29">
        <f>SUM(C8:C18)</f>
        <v>856240</v>
      </c>
    </row>
    <row r="20" spans="1:3" x14ac:dyDescent="0.15">
      <c r="A20" s="26" t="s">
        <v>79</v>
      </c>
      <c r="B20" s="27"/>
      <c r="C20" s="27"/>
    </row>
    <row r="21" spans="1:3" x14ac:dyDescent="0.15">
      <c r="A21" s="25" t="s">
        <v>132</v>
      </c>
      <c r="B21" s="72">
        <v>70807</v>
      </c>
      <c r="C21" s="72">
        <v>83008</v>
      </c>
    </row>
    <row r="22" spans="1:3" x14ac:dyDescent="0.15">
      <c r="A22" s="30" t="s">
        <v>80</v>
      </c>
      <c r="B22" s="74"/>
      <c r="C22" s="74"/>
    </row>
    <row r="23" spans="1:3" x14ac:dyDescent="0.15">
      <c r="A23" s="25" t="s">
        <v>88</v>
      </c>
      <c r="B23" s="73">
        <v>164782</v>
      </c>
      <c r="C23" s="73">
        <v>88215</v>
      </c>
    </row>
    <row r="24" spans="1:3" x14ac:dyDescent="0.15">
      <c r="A24" s="25" t="s">
        <v>133</v>
      </c>
      <c r="B24" s="73">
        <v>18745</v>
      </c>
      <c r="C24" s="73">
        <v>5570</v>
      </c>
    </row>
    <row r="25" spans="1:3" x14ac:dyDescent="0.15">
      <c r="A25" s="25" t="s">
        <v>134</v>
      </c>
      <c r="B25" s="73">
        <v>24814</v>
      </c>
      <c r="C25" s="73">
        <v>22809</v>
      </c>
    </row>
    <row r="26" spans="1:3" x14ac:dyDescent="0.15">
      <c r="A26" s="26" t="s">
        <v>85</v>
      </c>
      <c r="B26" s="27"/>
      <c r="C26" s="27"/>
    </row>
    <row r="27" spans="1:3" x14ac:dyDescent="0.15">
      <c r="A27" s="25" t="s">
        <v>89</v>
      </c>
      <c r="B27" s="73">
        <v>5349</v>
      </c>
      <c r="C27" s="73">
        <v>6636</v>
      </c>
    </row>
    <row r="28" spans="1:3" x14ac:dyDescent="0.15">
      <c r="A28" s="25" t="s">
        <v>90</v>
      </c>
      <c r="B28" s="73">
        <v>199416</v>
      </c>
      <c r="C28" s="73">
        <v>206936</v>
      </c>
    </row>
    <row r="29" spans="1:3" x14ac:dyDescent="0.15">
      <c r="A29" s="25" t="s">
        <v>91</v>
      </c>
      <c r="B29" s="73">
        <v>127426</v>
      </c>
      <c r="C29" s="73">
        <v>132083</v>
      </c>
    </row>
    <row r="30" spans="1:3" x14ac:dyDescent="0.15">
      <c r="A30" s="25" t="s">
        <v>135</v>
      </c>
      <c r="B30" s="73">
        <v>44692</v>
      </c>
      <c r="C30" s="73">
        <v>44540</v>
      </c>
    </row>
    <row r="31" spans="1:3" x14ac:dyDescent="0.15">
      <c r="A31" s="25" t="s">
        <v>136</v>
      </c>
      <c r="B31" s="73">
        <v>160965</v>
      </c>
      <c r="C31" s="73">
        <v>167571</v>
      </c>
    </row>
    <row r="32" spans="1:3" x14ac:dyDescent="0.15">
      <c r="A32" s="25" t="s">
        <v>137</v>
      </c>
      <c r="B32" s="73">
        <v>16044</v>
      </c>
      <c r="C32" s="73">
        <v>16075</v>
      </c>
    </row>
    <row r="33" spans="1:3" x14ac:dyDescent="0.15">
      <c r="A33" s="28" t="s">
        <v>98</v>
      </c>
      <c r="B33" s="31">
        <f>SUM(B21:B32)</f>
        <v>833040</v>
      </c>
      <c r="C33" s="31">
        <f>SUM(C21:C32)</f>
        <v>773443</v>
      </c>
    </row>
    <row r="34" spans="1:3" x14ac:dyDescent="0.15">
      <c r="A34" s="25" t="s">
        <v>86</v>
      </c>
    </row>
    <row r="35" spans="1:3" x14ac:dyDescent="0.15">
      <c r="A35" s="26" t="s">
        <v>87</v>
      </c>
      <c r="B35" s="26"/>
      <c r="C35" s="26"/>
    </row>
    <row r="36" spans="1:3" x14ac:dyDescent="0.15">
      <c r="A36" s="25" t="s">
        <v>138</v>
      </c>
      <c r="B36" s="73">
        <v>7200</v>
      </c>
      <c r="C36" s="73">
        <v>9200</v>
      </c>
    </row>
    <row r="37" spans="1:3" x14ac:dyDescent="0.15">
      <c r="A37" s="25" t="s">
        <v>139</v>
      </c>
      <c r="B37" s="75">
        <v>8</v>
      </c>
      <c r="C37" s="75">
        <v>9</v>
      </c>
    </row>
    <row r="38" spans="1:3" x14ac:dyDescent="0.15">
      <c r="A38" s="25" t="s">
        <v>92</v>
      </c>
      <c r="B38" s="73">
        <v>3839</v>
      </c>
      <c r="C38" s="73">
        <v>3766</v>
      </c>
    </row>
    <row r="39" spans="1:3" x14ac:dyDescent="0.15">
      <c r="A39" s="25" t="s">
        <v>120</v>
      </c>
      <c r="B39" s="25" t="s">
        <v>39</v>
      </c>
      <c r="C39" s="25" t="s">
        <v>39</v>
      </c>
    </row>
    <row r="40" spans="1:3" x14ac:dyDescent="0.15">
      <c r="A40" s="25" t="s">
        <v>93</v>
      </c>
      <c r="B40" s="73">
        <v>48998</v>
      </c>
      <c r="C40" s="73">
        <v>50049</v>
      </c>
    </row>
    <row r="41" spans="1:3" x14ac:dyDescent="0.15">
      <c r="A41" s="25" t="s">
        <v>94</v>
      </c>
      <c r="B41" s="73">
        <v>71961</v>
      </c>
      <c r="C41" s="73">
        <v>78984</v>
      </c>
    </row>
    <row r="42" spans="1:3" x14ac:dyDescent="0.15">
      <c r="A42" s="25" t="s">
        <v>95</v>
      </c>
      <c r="B42" s="75">
        <v>-524</v>
      </c>
      <c r="C42" s="73">
        <v>-743</v>
      </c>
    </row>
    <row r="43" spans="1:3" x14ac:dyDescent="0.15">
      <c r="A43" s="25" t="s">
        <v>140</v>
      </c>
      <c r="B43" s="73">
        <v>-53015</v>
      </c>
      <c r="C43" s="73">
        <v>-58468</v>
      </c>
    </row>
    <row r="44" spans="1:3" x14ac:dyDescent="0.15">
      <c r="A44" s="28" t="s">
        <v>96</v>
      </c>
      <c r="B44" s="29">
        <f>B43+B42+B41+B40+B36+B38+B37</f>
        <v>78467</v>
      </c>
      <c r="C44" s="29">
        <f>C43+C42+C41+C40+C36+C38+C37</f>
        <v>82797</v>
      </c>
    </row>
    <row r="45" spans="1:3" x14ac:dyDescent="0.15">
      <c r="A45" s="26" t="s">
        <v>97</v>
      </c>
      <c r="B45" s="32">
        <f>B44+B33</f>
        <v>911507</v>
      </c>
      <c r="C45" s="32">
        <f>C44+C33</f>
        <v>856240</v>
      </c>
    </row>
    <row r="46" spans="1:3" x14ac:dyDescent="0.15">
      <c r="A46" s="25" t="s">
        <v>122</v>
      </c>
      <c r="B46" s="33">
        <f>B45-B19</f>
        <v>0</v>
      </c>
      <c r="C46" s="33">
        <f>C45-C19</f>
        <v>0</v>
      </c>
    </row>
    <row r="50" spans="1:1" ht="15" x14ac:dyDescent="0.2">
      <c r="A50" s="68" t="s">
        <v>141</v>
      </c>
    </row>
  </sheetData>
  <sheetProtection algorithmName="SHA-512" hashValue="FUnOWFYUdiQrpZtLBqYVRqj3pMAWKXv1JnZVsSKrnVaW19C8Q86KP+XKAY8w3+yT2VQy828+yayZwU9+82v4fA==" saltValue="RWWkvDQFRT0Mg7kRpI9V/Q==" spinCount="100000" sheet="1" formatCells="0" formatColumns="0" formatRows="0" insertColumns="0" insertRows="0" insertHyperlinks="0" deleteColumns="0" deleteRows="0" sort="0" autoFilter="0" pivotTables="0"/>
  <hyperlinks>
    <hyperlink ref="A50" r:id="rId1" location="tx840464_23" xr:uid="{00000000-0004-0000-0500-000000000000}"/>
  </hyperlink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5"/>
  <sheetViews>
    <sheetView topLeftCell="A22" zoomScale="150" zoomScaleNormal="150" workbookViewId="0" xr3:uid="{9B253EF2-77E0-53E3-AE26-4D66ECD923F3}">
      <selection sqref="A1:C45"/>
    </sheetView>
  </sheetViews>
  <sheetFormatPr defaultColWidth="46.48828125" defaultRowHeight="14.25" x14ac:dyDescent="0.15"/>
  <cols>
    <col min="1" max="1" width="53.88671875" style="25" customWidth="1"/>
    <col min="2" max="3" width="10.48046875" style="25" bestFit="1" customWidth="1"/>
    <col min="4" max="16384" width="46.48828125" style="25"/>
  </cols>
  <sheetData>
    <row r="1" spans="1:3" x14ac:dyDescent="0.15">
      <c r="A1" s="23" t="s">
        <v>34</v>
      </c>
    </row>
    <row r="2" spans="1:3" x14ac:dyDescent="0.15">
      <c r="A2" s="23" t="s">
        <v>33</v>
      </c>
    </row>
    <row r="3" spans="1:3" x14ac:dyDescent="0.15">
      <c r="A3" s="23" t="s">
        <v>32</v>
      </c>
    </row>
    <row r="4" spans="1:3" x14ac:dyDescent="0.15">
      <c r="A4" s="25" t="s">
        <v>101</v>
      </c>
    </row>
    <row r="5" spans="1:3" ht="15" thickBot="1" x14ac:dyDescent="0.2">
      <c r="A5" s="25" t="s">
        <v>100</v>
      </c>
    </row>
    <row r="6" spans="1:3" ht="15" thickBot="1" x14ac:dyDescent="0.2">
      <c r="A6" s="62" t="s">
        <v>123</v>
      </c>
      <c r="B6" s="63">
        <v>2015</v>
      </c>
      <c r="C6" s="64">
        <v>2016</v>
      </c>
    </row>
    <row r="7" spans="1:3" x14ac:dyDescent="0.15">
      <c r="A7" s="26" t="s">
        <v>76</v>
      </c>
      <c r="B7" s="27"/>
      <c r="C7" s="27"/>
    </row>
    <row r="8" spans="1:3" x14ac:dyDescent="0.15">
      <c r="A8" s="25" t="s">
        <v>81</v>
      </c>
      <c r="B8" s="72">
        <v>93439</v>
      </c>
      <c r="C8" s="72">
        <v>121711</v>
      </c>
    </row>
    <row r="9" spans="1:3" x14ac:dyDescent="0.15">
      <c r="A9" s="25" t="s">
        <v>77</v>
      </c>
    </row>
    <row r="10" spans="1:3" x14ac:dyDescent="0.15">
      <c r="A10" s="25" t="s">
        <v>108</v>
      </c>
      <c r="B10" s="73">
        <v>134308</v>
      </c>
      <c r="C10" s="73">
        <v>116925</v>
      </c>
    </row>
    <row r="11" spans="1:3" x14ac:dyDescent="0.15">
      <c r="A11" s="25" t="s">
        <v>109</v>
      </c>
      <c r="B11" s="73">
        <v>177638</v>
      </c>
      <c r="C11" s="73">
        <v>184600</v>
      </c>
    </row>
    <row r="12" spans="1:3" x14ac:dyDescent="0.15">
      <c r="A12" s="26" t="s">
        <v>78</v>
      </c>
      <c r="B12" s="27"/>
      <c r="C12" s="27"/>
    </row>
    <row r="13" spans="1:3" x14ac:dyDescent="0.15">
      <c r="A13" s="25" t="s">
        <v>82</v>
      </c>
      <c r="B13" s="73">
        <v>25453</v>
      </c>
      <c r="C13" s="73">
        <v>18044</v>
      </c>
    </row>
    <row r="14" spans="1:3" x14ac:dyDescent="0.15">
      <c r="A14" s="25" t="s">
        <v>110</v>
      </c>
      <c r="B14" s="73">
        <v>46430</v>
      </c>
      <c r="C14" s="73">
        <v>47780</v>
      </c>
    </row>
    <row r="15" spans="1:3" x14ac:dyDescent="0.15">
      <c r="A15" s="25" t="s">
        <v>83</v>
      </c>
      <c r="B15" s="73">
        <v>45407</v>
      </c>
      <c r="C15" s="73">
        <v>49672</v>
      </c>
    </row>
    <row r="16" spans="1:3" x14ac:dyDescent="0.15">
      <c r="A16" s="25" t="s">
        <v>111</v>
      </c>
      <c r="B16" s="73">
        <v>313502</v>
      </c>
      <c r="C16" s="73">
        <v>295952</v>
      </c>
    </row>
    <row r="17" spans="1:3" x14ac:dyDescent="0.15">
      <c r="A17" s="25" t="s">
        <v>84</v>
      </c>
      <c r="B17" s="73">
        <v>25218</v>
      </c>
      <c r="C17" s="73">
        <v>25481</v>
      </c>
    </row>
    <row r="18" spans="1:3" x14ac:dyDescent="0.15">
      <c r="A18" s="28" t="s">
        <v>99</v>
      </c>
      <c r="B18" s="29">
        <f>SUM(B8:B17)</f>
        <v>861395</v>
      </c>
      <c r="C18" s="29">
        <f>SUM(C8:C17)</f>
        <v>860165</v>
      </c>
    </row>
    <row r="19" spans="1:3" x14ac:dyDescent="0.15">
      <c r="A19" s="26" t="s">
        <v>79</v>
      </c>
      <c r="B19" s="27"/>
      <c r="C19" s="27"/>
    </row>
    <row r="20" spans="1:3" x14ac:dyDescent="0.15">
      <c r="A20" s="25" t="s">
        <v>112</v>
      </c>
      <c r="B20" s="72">
        <v>97519</v>
      </c>
      <c r="C20" s="72">
        <v>124098</v>
      </c>
    </row>
    <row r="21" spans="1:3" x14ac:dyDescent="0.15">
      <c r="A21" s="30" t="s">
        <v>80</v>
      </c>
      <c r="B21" s="30"/>
      <c r="C21" s="30"/>
    </row>
    <row r="22" spans="1:3" x14ac:dyDescent="0.15">
      <c r="A22" s="25" t="s">
        <v>88</v>
      </c>
      <c r="B22" s="73">
        <v>86069</v>
      </c>
      <c r="C22" s="73">
        <v>71816</v>
      </c>
    </row>
    <row r="23" spans="1:3" x14ac:dyDescent="0.15">
      <c r="A23" s="25" t="s">
        <v>113</v>
      </c>
      <c r="B23" s="73">
        <v>3614</v>
      </c>
      <c r="C23" s="73">
        <v>7524</v>
      </c>
    </row>
    <row r="24" spans="1:3" x14ac:dyDescent="0.15">
      <c r="A24" s="25" t="s">
        <v>114</v>
      </c>
      <c r="B24" s="73">
        <v>24753</v>
      </c>
      <c r="C24" s="73">
        <v>21523</v>
      </c>
    </row>
    <row r="25" spans="1:3" x14ac:dyDescent="0.15">
      <c r="A25" s="26" t="s">
        <v>85</v>
      </c>
      <c r="B25" s="27"/>
      <c r="C25" s="27"/>
    </row>
    <row r="26" spans="1:3" x14ac:dyDescent="0.15">
      <c r="A26" s="25" t="s">
        <v>89</v>
      </c>
      <c r="B26" s="73">
        <v>5406</v>
      </c>
      <c r="C26" s="73">
        <v>4386</v>
      </c>
    </row>
    <row r="27" spans="1:3" x14ac:dyDescent="0.15">
      <c r="A27" s="25" t="s">
        <v>90</v>
      </c>
      <c r="B27" s="73">
        <v>204956</v>
      </c>
      <c r="C27" s="73">
        <v>184069</v>
      </c>
    </row>
    <row r="28" spans="1:3" x14ac:dyDescent="0.15">
      <c r="A28" s="25" t="s">
        <v>91</v>
      </c>
      <c r="B28" s="73">
        <v>115248</v>
      </c>
      <c r="C28" s="73">
        <v>117143</v>
      </c>
    </row>
    <row r="29" spans="1:3" x14ac:dyDescent="0.15">
      <c r="A29" s="25" t="s">
        <v>115</v>
      </c>
      <c r="B29" s="73">
        <v>42787</v>
      </c>
      <c r="C29" s="73">
        <v>39265</v>
      </c>
    </row>
    <row r="30" spans="1:3" x14ac:dyDescent="0.15">
      <c r="A30" s="25" t="s">
        <v>117</v>
      </c>
      <c r="B30" s="73">
        <v>175422</v>
      </c>
      <c r="C30" s="73">
        <v>189086</v>
      </c>
    </row>
    <row r="31" spans="1:3" x14ac:dyDescent="0.15">
      <c r="A31" s="25" t="s">
        <v>116</v>
      </c>
      <c r="B31" s="73">
        <v>18893</v>
      </c>
      <c r="C31" s="73">
        <v>14362</v>
      </c>
    </row>
    <row r="32" spans="1:3" x14ac:dyDescent="0.15">
      <c r="A32" s="28" t="s">
        <v>98</v>
      </c>
      <c r="B32" s="31">
        <f>SUM(B20:B31)</f>
        <v>774667</v>
      </c>
      <c r="C32" s="31">
        <f>SUM(C20:C31)</f>
        <v>773272</v>
      </c>
    </row>
    <row r="33" spans="1:3" x14ac:dyDescent="0.15">
      <c r="A33" s="25" t="s">
        <v>86</v>
      </c>
    </row>
    <row r="34" spans="1:3" x14ac:dyDescent="0.15">
      <c r="A34" s="26" t="s">
        <v>87</v>
      </c>
      <c r="B34" s="26"/>
      <c r="C34" s="26"/>
    </row>
    <row r="35" spans="1:3" x14ac:dyDescent="0.15">
      <c r="A35" s="25" t="s">
        <v>118</v>
      </c>
      <c r="B35" s="73">
        <v>11200</v>
      </c>
      <c r="C35" s="73">
        <v>11203</v>
      </c>
    </row>
    <row r="36" spans="1:3" x14ac:dyDescent="0.15">
      <c r="A36" s="25" t="s">
        <v>119</v>
      </c>
      <c r="B36" s="75">
        <v>9</v>
      </c>
      <c r="C36" s="75">
        <v>9</v>
      </c>
    </row>
    <row r="37" spans="1:3" x14ac:dyDescent="0.15">
      <c r="A37" s="25" t="s">
        <v>92</v>
      </c>
      <c r="B37" s="73">
        <v>4151</v>
      </c>
      <c r="C37" s="73">
        <v>3914</v>
      </c>
    </row>
    <row r="38" spans="1:3" x14ac:dyDescent="0.15">
      <c r="A38" s="25" t="s">
        <v>120</v>
      </c>
      <c r="B38" s="25" t="s">
        <v>39</v>
      </c>
      <c r="C38" s="25" t="s">
        <v>39</v>
      </c>
    </row>
    <row r="39" spans="1:3" x14ac:dyDescent="0.15">
      <c r="A39" s="25" t="s">
        <v>93</v>
      </c>
      <c r="B39" s="73">
        <v>51340</v>
      </c>
      <c r="C39" s="73">
        <v>52638</v>
      </c>
    </row>
    <row r="40" spans="1:3" x14ac:dyDescent="0.15">
      <c r="A40" s="25" t="s">
        <v>94</v>
      </c>
      <c r="B40" s="73">
        <v>83386</v>
      </c>
      <c r="C40" s="73">
        <v>89039</v>
      </c>
    </row>
    <row r="41" spans="1:3" x14ac:dyDescent="0.15">
      <c r="A41" s="25" t="s">
        <v>95</v>
      </c>
      <c r="B41" s="75">
        <v>-718</v>
      </c>
      <c r="C41" s="73">
        <v>-1216</v>
      </c>
    </row>
    <row r="42" spans="1:3" x14ac:dyDescent="0.15">
      <c r="A42" s="25" t="s">
        <v>121</v>
      </c>
      <c r="B42" s="73">
        <v>-62640</v>
      </c>
      <c r="C42" s="73">
        <v>-68694</v>
      </c>
    </row>
    <row r="43" spans="1:3" x14ac:dyDescent="0.15">
      <c r="A43" s="28" t="s">
        <v>96</v>
      </c>
      <c r="B43" s="29">
        <f>B42+B41+B40+B39+B35+B37+B36</f>
        <v>86728</v>
      </c>
      <c r="C43" s="29">
        <f>C42+C41+C40+C39+C35+C37+C36</f>
        <v>86893</v>
      </c>
    </row>
    <row r="44" spans="1:3" x14ac:dyDescent="0.15">
      <c r="A44" s="26" t="s">
        <v>97</v>
      </c>
      <c r="B44" s="32">
        <f>B43+B32</f>
        <v>861395</v>
      </c>
      <c r="C44" s="32">
        <f>C43+C32</f>
        <v>860165</v>
      </c>
    </row>
    <row r="45" spans="1:3" x14ac:dyDescent="0.15">
      <c r="A45" s="25" t="s">
        <v>122</v>
      </c>
      <c r="B45" s="33">
        <f>B44-B18</f>
        <v>0</v>
      </c>
      <c r="C45" s="33">
        <f>C44-C18</f>
        <v>0</v>
      </c>
    </row>
  </sheetData>
  <sheetProtection algorithmName="SHA-512" hashValue="Il6f3GRL7yD/7AeCQ54w3ZNY9nxcAs1KdEApASft604Kpw088ksTDtykfizPD1GLb0P09sU5aBdTyaQcZ7bnLA==" saltValue="L0L4/RdpaZ2ZRxevuRl3ZA=="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sheetPr>
  <dimension ref="A1:D51"/>
  <sheetViews>
    <sheetView topLeftCell="A50" zoomScale="150" zoomScaleNormal="150" workbookViewId="0" xr3:uid="{85D5C41F-068E-5C55-9968-509E7C2A5619}">
      <selection sqref="A1:E52"/>
    </sheetView>
  </sheetViews>
  <sheetFormatPr defaultColWidth="10.8515625" defaultRowHeight="10.5" x14ac:dyDescent="0.1"/>
  <cols>
    <col min="1" max="1" width="44.8828125" style="2" customWidth="1"/>
    <col min="2" max="3" width="13.80859375" style="2" customWidth="1"/>
    <col min="4" max="4" width="14.91796875" style="2" customWidth="1"/>
    <col min="5" max="247" width="8.875" style="2" customWidth="1"/>
    <col min="248" max="16384" width="10.8515625" style="2"/>
  </cols>
  <sheetData>
    <row r="1" spans="1:4" x14ac:dyDescent="0.1">
      <c r="A1" s="1" t="s">
        <v>34</v>
      </c>
      <c r="D1" s="1"/>
    </row>
    <row r="2" spans="1:4" x14ac:dyDescent="0.1">
      <c r="A2" s="1" t="s">
        <v>33</v>
      </c>
      <c r="D2" s="1"/>
    </row>
    <row r="3" spans="1:4" x14ac:dyDescent="0.1">
      <c r="A3" s="1" t="s">
        <v>32</v>
      </c>
      <c r="D3" s="1"/>
    </row>
    <row r="4" spans="1:4" x14ac:dyDescent="0.1">
      <c r="A4" s="1"/>
      <c r="D4" s="1"/>
    </row>
    <row r="6" spans="1:4" ht="16.5" x14ac:dyDescent="0.2">
      <c r="A6" s="20" t="s">
        <v>75</v>
      </c>
      <c r="D6" s="21"/>
    </row>
    <row r="8" spans="1:4" x14ac:dyDescent="0.1">
      <c r="B8" s="78"/>
      <c r="C8" s="78"/>
      <c r="D8" s="78"/>
    </row>
    <row r="9" spans="1:4" x14ac:dyDescent="0.1">
      <c r="A9" s="3"/>
      <c r="B9" s="19"/>
      <c r="C9" s="19"/>
      <c r="D9" s="19"/>
    </row>
    <row r="10" spans="1:4" ht="12" customHeight="1" x14ac:dyDescent="0.1">
      <c r="A10" s="3" t="s">
        <v>31</v>
      </c>
      <c r="B10" s="22"/>
      <c r="C10" s="22"/>
      <c r="D10" s="22"/>
    </row>
    <row r="11" spans="1:4" ht="11.25" thickBot="1" x14ac:dyDescent="0.15">
      <c r="A11" s="15" t="s">
        <v>74</v>
      </c>
      <c r="B11" s="7"/>
      <c r="C11" s="7"/>
      <c r="D11" s="6"/>
    </row>
    <row r="12" spans="1:4" x14ac:dyDescent="0.1">
      <c r="A12" s="17" t="s">
        <v>73</v>
      </c>
      <c r="B12" s="18">
        <v>2014</v>
      </c>
      <c r="C12" s="18">
        <v>2015</v>
      </c>
      <c r="D12" s="18">
        <v>2016</v>
      </c>
    </row>
    <row r="13" spans="1:4" x14ac:dyDescent="0.1">
      <c r="A13" s="3" t="s">
        <v>6</v>
      </c>
      <c r="B13" s="9">
        <v>8477</v>
      </c>
      <c r="C13" s="9">
        <v>6083</v>
      </c>
      <c r="D13" s="8">
        <v>7398</v>
      </c>
    </row>
    <row r="14" spans="1:4" x14ac:dyDescent="0.1">
      <c r="A14" s="3" t="s">
        <v>13</v>
      </c>
      <c r="B14" s="11">
        <v>1337</v>
      </c>
      <c r="C14" s="11">
        <v>991</v>
      </c>
      <c r="D14" s="10">
        <v>998</v>
      </c>
    </row>
    <row r="15" spans="1:4" x14ac:dyDescent="0.1">
      <c r="A15" s="3" t="s">
        <v>72</v>
      </c>
      <c r="B15" s="11">
        <v>495</v>
      </c>
      <c r="C15" s="11">
        <v>425</v>
      </c>
      <c r="D15" s="10">
        <v>551</v>
      </c>
    </row>
    <row r="16" spans="1:4" x14ac:dyDescent="0.1">
      <c r="A16" s="3" t="s">
        <v>71</v>
      </c>
      <c r="B16" s="11">
        <v>2085</v>
      </c>
      <c r="C16" s="11">
        <v>2272</v>
      </c>
      <c r="D16" s="10">
        <v>2111</v>
      </c>
    </row>
    <row r="17" spans="1:4" x14ac:dyDescent="0.1">
      <c r="A17" s="12" t="s">
        <v>70</v>
      </c>
      <c r="B17" s="9">
        <v>-289</v>
      </c>
      <c r="C17" s="9">
        <v>-34</v>
      </c>
      <c r="D17" s="10">
        <v>3</v>
      </c>
    </row>
    <row r="18" spans="1:4" x14ac:dyDescent="0.1">
      <c r="A18" s="3" t="s">
        <v>69</v>
      </c>
      <c r="B18" s="3"/>
      <c r="C18" s="3"/>
      <c r="D18" s="3"/>
    </row>
    <row r="19" spans="1:4" x14ac:dyDescent="0.1">
      <c r="A19" s="12" t="s">
        <v>68</v>
      </c>
      <c r="B19" s="11">
        <v>12328</v>
      </c>
      <c r="C19" s="11">
        <v>19132</v>
      </c>
      <c r="D19" s="8">
        <v>-15813</v>
      </c>
    </row>
    <row r="20" spans="1:4" x14ac:dyDescent="0.1">
      <c r="A20" s="12" t="s">
        <v>67</v>
      </c>
      <c r="B20" s="9">
        <v>-52793</v>
      </c>
      <c r="C20" s="9">
        <v>-14825</v>
      </c>
      <c r="D20" s="10">
        <v>78</v>
      </c>
    </row>
    <row r="21" spans="1:4" x14ac:dyDescent="0.1">
      <c r="A21" s="3" t="s">
        <v>66</v>
      </c>
      <c r="B21" s="11">
        <v>25881</v>
      </c>
      <c r="C21" s="11">
        <v>16078</v>
      </c>
      <c r="D21" s="10">
        <v>15253</v>
      </c>
    </row>
    <row r="22" spans="1:4" x14ac:dyDescent="0.1">
      <c r="A22" s="12" t="s">
        <v>65</v>
      </c>
      <c r="B22" s="11">
        <v>4642</v>
      </c>
      <c r="C22" s="9">
        <v>-16835</v>
      </c>
      <c r="D22" s="10">
        <v>1960</v>
      </c>
    </row>
    <row r="23" spans="1:4" ht="11.25" thickBot="1" x14ac:dyDescent="0.15">
      <c r="A23" s="4" t="s">
        <v>64</v>
      </c>
      <c r="B23" s="14">
        <v>-10095</v>
      </c>
      <c r="C23" s="14">
        <v>-5417</v>
      </c>
      <c r="D23" s="13">
        <v>-6969</v>
      </c>
    </row>
    <row r="24" spans="1:4" x14ac:dyDescent="0.1">
      <c r="A24" s="12" t="s">
        <v>63</v>
      </c>
      <c r="B24" s="9">
        <v>-7932</v>
      </c>
      <c r="C24" s="11">
        <v>7870</v>
      </c>
      <c r="D24" s="10">
        <v>5570</v>
      </c>
    </row>
    <row r="25" spans="1:4" x14ac:dyDescent="0.1">
      <c r="A25" s="17" t="s">
        <v>62</v>
      </c>
      <c r="B25" s="18"/>
      <c r="C25" s="18"/>
      <c r="D25" s="18"/>
    </row>
    <row r="26" spans="1:4" x14ac:dyDescent="0.1">
      <c r="A26" s="12" t="s">
        <v>61</v>
      </c>
      <c r="B26" s="9">
        <v>-678</v>
      </c>
      <c r="C26" s="9">
        <v>-1833</v>
      </c>
      <c r="D26" s="8">
        <v>-2876</v>
      </c>
    </row>
    <row r="27" spans="1:4" x14ac:dyDescent="0.1">
      <c r="A27" s="12" t="s">
        <v>60</v>
      </c>
      <c r="B27" s="11">
        <v>30</v>
      </c>
      <c r="C27" s="11">
        <v>228</v>
      </c>
      <c r="D27" s="10">
        <v>381</v>
      </c>
    </row>
    <row r="28" spans="1:4" x14ac:dyDescent="0.1">
      <c r="A28" s="12" t="s">
        <v>59</v>
      </c>
      <c r="B28" s="9">
        <v>-1732</v>
      </c>
      <c r="C28" s="9">
        <v>-1808</v>
      </c>
      <c r="D28" s="10">
        <v>14922</v>
      </c>
    </row>
    <row r="29" spans="1:4" x14ac:dyDescent="0.1">
      <c r="A29" s="3" t="s">
        <v>58</v>
      </c>
      <c r="B29" s="11">
        <v>1514</v>
      </c>
      <c r="C29" s="11">
        <v>1019</v>
      </c>
      <c r="D29" s="10">
        <v>1512</v>
      </c>
    </row>
    <row r="30" spans="1:4" ht="11.25" thickBot="1" x14ac:dyDescent="0.15">
      <c r="A30" s="4" t="s">
        <v>57</v>
      </c>
      <c r="B30" s="14">
        <v>-14043</v>
      </c>
      <c r="C30" s="14">
        <v>-16180</v>
      </c>
      <c r="D30" s="13">
        <v>-4669</v>
      </c>
    </row>
    <row r="31" spans="1:4" x14ac:dyDescent="0.1">
      <c r="A31" s="12" t="s">
        <v>56</v>
      </c>
      <c r="B31" s="9">
        <v>-14909</v>
      </c>
      <c r="C31" s="9">
        <v>-18574</v>
      </c>
      <c r="D31" s="10">
        <v>9270</v>
      </c>
    </row>
    <row r="32" spans="1:4" x14ac:dyDescent="0.1">
      <c r="A32" s="17" t="s">
        <v>55</v>
      </c>
      <c r="B32" s="18"/>
      <c r="C32" s="18"/>
      <c r="D32" s="18"/>
    </row>
    <row r="33" spans="1:4" x14ac:dyDescent="0.1">
      <c r="A33" s="3" t="s">
        <v>54</v>
      </c>
      <c r="B33" s="11">
        <v>1659</v>
      </c>
      <c r="C33" s="9">
        <v>-369</v>
      </c>
      <c r="D33" s="8">
        <v>-1506</v>
      </c>
    </row>
    <row r="34" spans="1:4" x14ac:dyDescent="0.1">
      <c r="A34" s="3" t="s">
        <v>53</v>
      </c>
      <c r="B34" s="9">
        <v>-837</v>
      </c>
      <c r="C34" s="9">
        <v>-867</v>
      </c>
      <c r="D34" s="8">
        <v>-808</v>
      </c>
    </row>
    <row r="35" spans="1:4" x14ac:dyDescent="0.1">
      <c r="A35" s="12" t="s">
        <v>52</v>
      </c>
      <c r="B35" s="11">
        <v>6900</v>
      </c>
      <c r="C35" s="11">
        <v>10349</v>
      </c>
      <c r="D35" s="10">
        <v>4186</v>
      </c>
    </row>
    <row r="36" spans="1:4" ht="19.5" x14ac:dyDescent="0.1">
      <c r="A36" s="12" t="s">
        <v>51</v>
      </c>
      <c r="B36" s="9">
        <v>-7636</v>
      </c>
      <c r="C36" s="9">
        <v>-6502</v>
      </c>
      <c r="D36" s="8">
        <v>-7375</v>
      </c>
    </row>
    <row r="37" spans="1:4" ht="19.5" x14ac:dyDescent="0.1">
      <c r="A37" s="12" t="s">
        <v>50</v>
      </c>
      <c r="B37" s="9">
        <v>-1611</v>
      </c>
      <c r="C37" s="9">
        <v>-1</v>
      </c>
      <c r="D37" s="8">
        <v>-1171</v>
      </c>
    </row>
    <row r="38" spans="1:4" x14ac:dyDescent="0.1">
      <c r="A38" s="12" t="s">
        <v>49</v>
      </c>
      <c r="B38" s="11">
        <v>39857</v>
      </c>
      <c r="C38" s="11">
        <v>44595</v>
      </c>
      <c r="D38" s="10">
        <v>50763</v>
      </c>
    </row>
    <row r="39" spans="1:4" x14ac:dyDescent="0.1">
      <c r="A39" s="12" t="s">
        <v>48</v>
      </c>
      <c r="B39" s="9">
        <v>-28138</v>
      </c>
      <c r="C39" s="9">
        <v>-29520</v>
      </c>
      <c r="D39" s="8">
        <v>-36557</v>
      </c>
    </row>
    <row r="40" spans="1:4" x14ac:dyDescent="0.1">
      <c r="A40" s="12" t="s">
        <v>47</v>
      </c>
      <c r="B40" s="11">
        <v>643</v>
      </c>
      <c r="C40" s="9">
        <v>-47</v>
      </c>
      <c r="D40" s="10">
        <v>2115</v>
      </c>
    </row>
    <row r="41" spans="1:4" x14ac:dyDescent="0.1">
      <c r="A41" s="3" t="s">
        <v>46</v>
      </c>
      <c r="B41" s="11">
        <v>12201</v>
      </c>
      <c r="C41" s="11">
        <v>14639</v>
      </c>
      <c r="D41" s="10">
        <v>10058</v>
      </c>
    </row>
    <row r="42" spans="1:4" x14ac:dyDescent="0.1">
      <c r="A42" s="3" t="s">
        <v>45</v>
      </c>
      <c r="B42" s="9">
        <v>-5469</v>
      </c>
      <c r="C42" s="9">
        <v>-4135</v>
      </c>
      <c r="D42" s="8">
        <v>-6078</v>
      </c>
    </row>
    <row r="43" spans="1:4" ht="19.5" x14ac:dyDescent="0.1">
      <c r="A43" s="12" t="s">
        <v>44</v>
      </c>
      <c r="B43" s="9">
        <v>-1454</v>
      </c>
      <c r="C43" s="9">
        <v>-1681</v>
      </c>
      <c r="D43" s="8">
        <v>-1706</v>
      </c>
    </row>
    <row r="44" spans="1:4" x14ac:dyDescent="0.1">
      <c r="A44" s="12" t="s">
        <v>43</v>
      </c>
      <c r="B44" s="11">
        <v>1980</v>
      </c>
      <c r="C44" s="11">
        <v>1993</v>
      </c>
      <c r="D44" s="10">
        <v>1303</v>
      </c>
    </row>
    <row r="45" spans="1:4" ht="19.5" x14ac:dyDescent="0.1">
      <c r="A45" s="12" t="s">
        <v>42</v>
      </c>
      <c r="B45" s="11">
        <v>123</v>
      </c>
      <c r="C45" s="11">
        <v>259</v>
      </c>
      <c r="D45" s="10">
        <v>6</v>
      </c>
    </row>
    <row r="46" spans="1:4" x14ac:dyDescent="0.1">
      <c r="A46" s="12" t="s">
        <v>41</v>
      </c>
      <c r="B46" s="11">
        <v>782</v>
      </c>
      <c r="C46" s="11">
        <v>407</v>
      </c>
      <c r="D46" s="10">
        <v>202</v>
      </c>
    </row>
    <row r="47" spans="1:4" ht="11.25" thickBot="1" x14ac:dyDescent="0.15">
      <c r="A47" s="4" t="s">
        <v>40</v>
      </c>
      <c r="B47" s="14">
        <v>-1</v>
      </c>
      <c r="C47" s="14">
        <v>-2</v>
      </c>
      <c r="D47" s="16" t="s">
        <v>39</v>
      </c>
    </row>
    <row r="48" spans="1:4" ht="11.25" thickBot="1" x14ac:dyDescent="0.15">
      <c r="A48" s="4" t="s">
        <v>38</v>
      </c>
      <c r="B48" s="7">
        <v>18999</v>
      </c>
      <c r="C48" s="7">
        <v>29118</v>
      </c>
      <c r="D48" s="6">
        <v>13432</v>
      </c>
    </row>
    <row r="49" spans="1:4" x14ac:dyDescent="0.1">
      <c r="A49" s="12" t="s">
        <v>37</v>
      </c>
      <c r="B49" s="9">
        <v>-3842</v>
      </c>
      <c r="C49" s="11">
        <v>18414</v>
      </c>
      <c r="D49" s="10">
        <v>28272</v>
      </c>
    </row>
    <row r="50" spans="1:4" ht="11.25" thickBot="1" x14ac:dyDescent="0.15">
      <c r="A50" s="4" t="s">
        <v>36</v>
      </c>
      <c r="B50" s="7">
        <v>78867</v>
      </c>
      <c r="C50" s="7">
        <v>75025</v>
      </c>
      <c r="D50" s="6">
        <v>93439</v>
      </c>
    </row>
    <row r="51" spans="1:4" ht="11.25" thickBot="1" x14ac:dyDescent="0.15">
      <c r="A51" s="5" t="s">
        <v>35</v>
      </c>
      <c r="B51" s="14">
        <v>75025</v>
      </c>
      <c r="C51" s="14">
        <v>93439</v>
      </c>
      <c r="D51" s="13">
        <v>121711</v>
      </c>
    </row>
  </sheetData>
  <sheetProtection algorithmName="SHA-512" hashValue="CdQ3nushx1JgKp13g1mCM/aMGT/hQegKlWMVumh9BZxd3F72uSX5OksueymKqhDU1CWWM3Wy750qiTFtj0Ztcw==" saltValue="cdxUDSnymA8fu5lET7zKvw==" spinCount="100000" sheet="1" formatCells="0" formatColumns="0" formatRows="0" insertColumns="0" insertRows="0" insertHyperlinks="0" deleteColumns="0" deleteRows="0" sort="0" autoFilter="0" pivotTables="0"/>
  <pageMargins left="0.2" right="0.2" top="0.5" bottom="0.5" header="0.5" footer="0.5"/>
  <pageSetup fitToWidth="0" fitToHeight="0" orientation="landscape" horizontalDpi="0" verticalDpi="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I20"/>
  <sheetViews>
    <sheetView topLeftCell="A3" zoomScale="150" zoomScaleNormal="150" workbookViewId="0" xr3:uid="{44B22561-5205-5C8A-B808-2C70100D228F}">
      <selection activeCell="E11" sqref="E11"/>
    </sheetView>
  </sheetViews>
  <sheetFormatPr defaultColWidth="10.8515625" defaultRowHeight="14.25" x14ac:dyDescent="0.15"/>
  <cols>
    <col min="1" max="3" width="10.8515625" style="25"/>
    <col min="4" max="4" width="16.890625" style="25" customWidth="1"/>
    <col min="5" max="5" width="18" style="25" customWidth="1"/>
    <col min="6" max="6" width="17.6328125" style="25" bestFit="1" customWidth="1"/>
    <col min="7" max="8" width="10.8515625" style="25"/>
    <col min="9" max="9" width="10.97265625" style="25" bestFit="1" customWidth="1"/>
    <col min="10" max="16384" width="10.8515625" style="25"/>
  </cols>
  <sheetData>
    <row r="4" spans="1:9" x14ac:dyDescent="0.15">
      <c r="B4" s="217" t="s">
        <v>308</v>
      </c>
      <c r="C4" s="217"/>
      <c r="D4" s="218"/>
      <c r="E4" s="218"/>
      <c r="F4" s="218"/>
      <c r="G4" s="218"/>
      <c r="H4" s="218"/>
    </row>
    <row r="5" spans="1:9" x14ac:dyDescent="0.15">
      <c r="B5" s="179"/>
      <c r="C5" s="169"/>
      <c r="D5" s="219"/>
      <c r="E5" s="219"/>
      <c r="F5" s="219"/>
      <c r="G5" s="219"/>
      <c r="H5" s="219"/>
    </row>
    <row r="6" spans="1:9" x14ac:dyDescent="0.15">
      <c r="A6" s="81"/>
      <c r="G6" s="219"/>
      <c r="H6" s="219"/>
      <c r="I6" s="81"/>
    </row>
    <row r="7" spans="1:9" x14ac:dyDescent="0.15">
      <c r="A7" s="81" t="s">
        <v>309</v>
      </c>
      <c r="B7" s="96" t="s">
        <v>279</v>
      </c>
      <c r="C7" s="96"/>
      <c r="D7" s="96"/>
      <c r="E7" s="221">
        <v>35785180</v>
      </c>
      <c r="F7" s="222"/>
      <c r="G7" s="222"/>
      <c r="H7" s="222"/>
      <c r="I7" s="81"/>
    </row>
    <row r="8" spans="1:9" x14ac:dyDescent="0.15">
      <c r="A8" s="226">
        <v>43133</v>
      </c>
      <c r="B8" s="96" t="s">
        <v>280</v>
      </c>
      <c r="C8" s="96"/>
      <c r="D8" s="96"/>
      <c r="E8" s="221">
        <v>4.21</v>
      </c>
      <c r="F8" s="222"/>
      <c r="G8" s="222"/>
      <c r="H8" s="222"/>
      <c r="I8" s="81"/>
    </row>
    <row r="9" spans="1:9" x14ac:dyDescent="0.15">
      <c r="A9" s="226">
        <v>43133</v>
      </c>
      <c r="B9" s="96" t="s">
        <v>281</v>
      </c>
      <c r="C9" s="96"/>
      <c r="D9" s="96"/>
      <c r="E9" s="221">
        <v>260.04000000000002</v>
      </c>
      <c r="F9" s="222"/>
      <c r="G9" s="222"/>
      <c r="H9" s="222"/>
      <c r="I9" s="81"/>
    </row>
    <row r="10" spans="1:9" x14ac:dyDescent="0.15">
      <c r="A10" s="81"/>
      <c r="B10" s="222"/>
      <c r="C10" s="223"/>
      <c r="D10" s="222"/>
      <c r="E10" s="222"/>
      <c r="F10" s="222"/>
      <c r="G10" s="222"/>
      <c r="H10" s="222"/>
      <c r="I10" s="81"/>
    </row>
    <row r="11" spans="1:9" ht="15.95" customHeight="1" x14ac:dyDescent="0.15">
      <c r="A11" s="81"/>
      <c r="B11" s="224" t="s">
        <v>278</v>
      </c>
      <c r="C11" s="219"/>
      <c r="D11" s="219"/>
      <c r="E11" s="275">
        <f>E7*(1-E8/E9)</f>
        <v>35205824.486232892</v>
      </c>
      <c r="G11" s="225"/>
      <c r="H11" s="222"/>
      <c r="I11" s="81"/>
    </row>
    <row r="12" spans="1:9" ht="15.95" customHeight="1" x14ac:dyDescent="0.15">
      <c r="A12" s="81"/>
      <c r="B12" s="222"/>
      <c r="C12" s="224"/>
      <c r="D12" s="224"/>
      <c r="E12" s="224"/>
      <c r="F12" s="225"/>
      <c r="G12" s="225"/>
      <c r="H12" s="222"/>
      <c r="I12" s="220"/>
    </row>
    <row r="13" spans="1:9" ht="15.95" customHeight="1" x14ac:dyDescent="0.15">
      <c r="A13" s="81"/>
      <c r="B13" s="222"/>
      <c r="C13" s="224"/>
      <c r="D13" s="224"/>
      <c r="E13" s="224"/>
      <c r="F13" s="225"/>
      <c r="G13" s="225"/>
      <c r="H13" s="222"/>
      <c r="I13" s="81"/>
    </row>
    <row r="14" spans="1:9" x14ac:dyDescent="0.15">
      <c r="A14" s="81"/>
      <c r="B14" s="222"/>
      <c r="C14" s="222"/>
      <c r="D14" s="222"/>
      <c r="E14" s="222"/>
      <c r="F14" s="222"/>
      <c r="G14" s="222"/>
      <c r="H14" s="222"/>
      <c r="I14" s="81"/>
    </row>
    <row r="15" spans="1:9" x14ac:dyDescent="0.15">
      <c r="A15" s="81"/>
      <c r="B15" s="222"/>
      <c r="G15" s="221"/>
      <c r="H15" s="222"/>
      <c r="I15" s="81"/>
    </row>
    <row r="16" spans="1:9" x14ac:dyDescent="0.15">
      <c r="A16" s="81"/>
      <c r="B16" s="222"/>
      <c r="G16" s="221"/>
      <c r="H16" s="222"/>
      <c r="I16" s="81"/>
    </row>
    <row r="17" spans="1:9" x14ac:dyDescent="0.15">
      <c r="A17" s="81"/>
      <c r="B17" s="222"/>
      <c r="G17" s="221"/>
      <c r="H17" s="222"/>
      <c r="I17" s="81"/>
    </row>
    <row r="18" spans="1:9" x14ac:dyDescent="0.15">
      <c r="A18" s="81"/>
      <c r="B18" s="222"/>
      <c r="C18" s="222"/>
      <c r="D18" s="222"/>
      <c r="E18" s="222"/>
      <c r="F18" s="222"/>
      <c r="G18" s="222"/>
      <c r="H18" s="222"/>
      <c r="I18" s="81"/>
    </row>
    <row r="19" spans="1:9" x14ac:dyDescent="0.15">
      <c r="A19" s="81"/>
      <c r="B19" s="81"/>
      <c r="C19" s="81"/>
      <c r="D19" s="81"/>
      <c r="E19" s="81"/>
      <c r="F19" s="81"/>
      <c r="G19" s="81"/>
      <c r="H19" s="81"/>
      <c r="I19" s="81"/>
    </row>
    <row r="20" spans="1:9" x14ac:dyDescent="0.15">
      <c r="A20" s="81"/>
      <c r="B20" s="81"/>
      <c r="C20" s="81"/>
      <c r="D20" s="81"/>
      <c r="E20" s="81"/>
      <c r="F20" s="81"/>
      <c r="G20" s="81"/>
      <c r="H20" s="81"/>
      <c r="I20" s="8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1"/>
  <sheetViews>
    <sheetView tabSelected="1" zoomScale="150" zoomScaleNormal="150" workbookViewId="0" xr3:uid="{7BE570AB-09E9-518F-B8F7-3F91B7162CA9}">
      <selection activeCell="B7" sqref="B7"/>
    </sheetView>
  </sheetViews>
  <sheetFormatPr defaultColWidth="10.97265625" defaultRowHeight="15" x14ac:dyDescent="0.2"/>
  <cols>
    <col min="1" max="1" width="28.484375" customWidth="1"/>
  </cols>
  <sheetData>
    <row r="1" spans="1:7" x14ac:dyDescent="0.2">
      <c r="A1" t="s">
        <v>212</v>
      </c>
    </row>
    <row r="2" spans="1:7" x14ac:dyDescent="0.2">
      <c r="A2" s="25" t="s">
        <v>31</v>
      </c>
      <c r="B2" s="25"/>
      <c r="C2" s="25"/>
      <c r="D2" s="25"/>
      <c r="E2" s="25"/>
      <c r="F2" s="25"/>
      <c r="G2" s="25"/>
    </row>
    <row r="3" spans="1:7" x14ac:dyDescent="0.2">
      <c r="A3" s="217" t="s">
        <v>208</v>
      </c>
      <c r="B3" s="217">
        <v>2014</v>
      </c>
      <c r="C3" s="218">
        <v>2015</v>
      </c>
      <c r="D3" s="218">
        <v>2016</v>
      </c>
      <c r="E3" s="25"/>
      <c r="F3" s="25"/>
      <c r="G3" s="25"/>
    </row>
    <row r="4" spans="1:7" x14ac:dyDescent="0.2">
      <c r="A4" s="25" t="s">
        <v>209</v>
      </c>
      <c r="B4" s="33">
        <v>2101</v>
      </c>
      <c r="C4" s="33">
        <v>2304</v>
      </c>
      <c r="D4" s="33">
        <v>2170</v>
      </c>
      <c r="E4" s="25"/>
      <c r="F4" s="25"/>
      <c r="G4" s="25"/>
    </row>
    <row r="5" spans="1:7" x14ac:dyDescent="0.2">
      <c r="A5" s="25" t="s">
        <v>210</v>
      </c>
      <c r="B5" s="25">
        <v>549</v>
      </c>
      <c r="C5" s="25">
        <v>134</v>
      </c>
      <c r="D5" s="25">
        <v>79</v>
      </c>
      <c r="E5" s="25"/>
      <c r="F5" s="25"/>
      <c r="G5" s="25"/>
    </row>
    <row r="6" spans="1:7" x14ac:dyDescent="0.2">
      <c r="A6" s="25" t="s">
        <v>211</v>
      </c>
      <c r="B6" s="25">
        <v>788</v>
      </c>
      <c r="C6" s="25">
        <v>406</v>
      </c>
      <c r="D6" s="25">
        <v>147</v>
      </c>
      <c r="E6" s="25"/>
      <c r="F6" s="25"/>
      <c r="G6" s="25"/>
    </row>
    <row r="7" spans="1:7" x14ac:dyDescent="0.2">
      <c r="A7" s="25"/>
      <c r="B7" s="25"/>
      <c r="C7" s="25"/>
      <c r="D7" s="25"/>
      <c r="E7" s="25"/>
      <c r="F7" s="25"/>
      <c r="G7" s="25"/>
    </row>
    <row r="8" spans="1:7" x14ac:dyDescent="0.2">
      <c r="A8" s="25"/>
      <c r="B8" s="25"/>
      <c r="C8" s="33"/>
      <c r="D8" s="33"/>
      <c r="E8" s="25"/>
      <c r="F8" s="25"/>
      <c r="G8" s="25"/>
    </row>
    <row r="9" spans="1:7" x14ac:dyDescent="0.2">
      <c r="A9" s="25"/>
      <c r="B9" s="25"/>
      <c r="C9" s="25"/>
      <c r="D9" s="25"/>
      <c r="E9" s="25"/>
      <c r="F9" s="25"/>
      <c r="G9" s="25"/>
    </row>
    <row r="10" spans="1:7" x14ac:dyDescent="0.2">
      <c r="A10" s="25"/>
      <c r="B10" s="25"/>
      <c r="C10" s="79"/>
      <c r="D10" s="79"/>
      <c r="E10" s="25"/>
      <c r="F10" s="25"/>
      <c r="G10" s="25"/>
    </row>
    <row r="11" spans="1:7" x14ac:dyDescent="0.2">
      <c r="A11" s="25"/>
      <c r="B11" s="25"/>
      <c r="C11" s="25"/>
      <c r="D11" s="25"/>
      <c r="E11" s="25"/>
      <c r="F11" s="25"/>
      <c r="G11" s="25"/>
    </row>
    <row r="12" spans="1:7" x14ac:dyDescent="0.2">
      <c r="A12" s="81"/>
      <c r="B12" s="81"/>
      <c r="C12" s="81"/>
      <c r="D12" s="81"/>
      <c r="E12" s="81"/>
      <c r="F12" s="81"/>
      <c r="G12" s="25"/>
    </row>
    <row r="13" spans="1:7" x14ac:dyDescent="0.2">
      <c r="A13" s="81"/>
      <c r="B13" s="81"/>
      <c r="C13" s="82"/>
      <c r="D13" s="82"/>
      <c r="E13" s="81"/>
      <c r="F13" s="81"/>
      <c r="G13" s="25"/>
    </row>
    <row r="14" spans="1:7" x14ac:dyDescent="0.2">
      <c r="A14" s="81"/>
      <c r="B14" s="81"/>
      <c r="C14" s="83"/>
      <c r="D14" s="83"/>
      <c r="E14" s="81"/>
      <c r="F14" s="81"/>
      <c r="G14" s="25"/>
    </row>
    <row r="15" spans="1:7" x14ac:dyDescent="0.2">
      <c r="A15" s="84"/>
      <c r="B15" s="84"/>
      <c r="C15" s="84"/>
      <c r="D15" s="84"/>
      <c r="E15" s="84"/>
      <c r="F15" s="84"/>
    </row>
    <row r="16" spans="1:7" x14ac:dyDescent="0.2">
      <c r="A16" s="84"/>
      <c r="B16" s="84"/>
      <c r="C16" s="84"/>
      <c r="D16" s="84"/>
      <c r="E16" s="84"/>
      <c r="F16" s="84"/>
    </row>
    <row r="17" spans="1:6" x14ac:dyDescent="0.2">
      <c r="A17" s="84"/>
      <c r="B17" s="84"/>
      <c r="C17" s="84"/>
      <c r="D17" s="84"/>
      <c r="E17" s="84"/>
      <c r="F17" s="84"/>
    </row>
    <row r="18" spans="1:6" x14ac:dyDescent="0.2">
      <c r="A18" s="84"/>
      <c r="B18" s="84"/>
      <c r="C18" s="84"/>
      <c r="D18" s="84"/>
      <c r="E18" s="84"/>
      <c r="F18" s="84"/>
    </row>
    <row r="19" spans="1:6" x14ac:dyDescent="0.2">
      <c r="A19" s="84"/>
      <c r="B19" s="84"/>
      <c r="C19" s="84"/>
      <c r="D19" s="84"/>
      <c r="E19" s="84"/>
      <c r="F19" s="84"/>
    </row>
    <row r="20" spans="1:6" x14ac:dyDescent="0.2">
      <c r="A20" s="84"/>
      <c r="B20" s="84"/>
      <c r="C20" s="84"/>
      <c r="D20" s="84"/>
      <c r="E20" s="84"/>
      <c r="F20" s="84"/>
    </row>
    <row r="21" spans="1:6" x14ac:dyDescent="0.2">
      <c r="A21" s="84"/>
      <c r="B21" s="84"/>
      <c r="C21" s="84"/>
      <c r="D21" s="84"/>
      <c r="E21" s="84"/>
      <c r="F21" s="8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zoomScale="150" zoomScaleNormal="150" workbookViewId="0" xr3:uid="{65FA3815-DCC1-5481-872F-D2879ED395ED}">
      <selection activeCell="D10" sqref="D10"/>
    </sheetView>
  </sheetViews>
  <sheetFormatPr defaultColWidth="10.97265625" defaultRowHeight="15" x14ac:dyDescent="0.2"/>
  <cols>
    <col min="1" max="1" width="37.98046875" bestFit="1" customWidth="1"/>
  </cols>
  <sheetData>
    <row r="1" spans="1:6" x14ac:dyDescent="0.2">
      <c r="A1" s="25" t="s">
        <v>221</v>
      </c>
      <c r="B1" s="25"/>
      <c r="C1" s="25"/>
      <c r="D1" s="25"/>
      <c r="E1" s="25"/>
      <c r="F1" s="25"/>
    </row>
    <row r="2" spans="1:6" x14ac:dyDescent="0.2">
      <c r="A2" s="25" t="s">
        <v>222</v>
      </c>
      <c r="B2" s="25"/>
      <c r="C2" s="25"/>
      <c r="D2" s="25"/>
      <c r="E2" s="25"/>
      <c r="F2" s="25"/>
    </row>
    <row r="3" spans="1:6" x14ac:dyDescent="0.2">
      <c r="A3" s="25"/>
      <c r="B3" s="25"/>
      <c r="C3" s="25"/>
      <c r="D3" s="25"/>
      <c r="E3" s="25"/>
      <c r="F3" s="25"/>
    </row>
    <row r="4" spans="1:6" x14ac:dyDescent="0.2">
      <c r="A4" s="25"/>
      <c r="B4" s="25">
        <v>2012</v>
      </c>
      <c r="C4" s="25">
        <v>2013</v>
      </c>
      <c r="D4" s="25">
        <v>2014</v>
      </c>
      <c r="E4" s="25">
        <v>2015</v>
      </c>
      <c r="F4" s="25">
        <v>2016</v>
      </c>
    </row>
    <row r="5" spans="1:6" x14ac:dyDescent="0.2">
      <c r="A5" s="25" t="s">
        <v>219</v>
      </c>
      <c r="B5" s="25"/>
      <c r="C5" s="25"/>
      <c r="D5" s="25"/>
      <c r="E5" s="25"/>
      <c r="F5" s="25"/>
    </row>
    <row r="6" spans="1:6" x14ac:dyDescent="0.2">
      <c r="A6" s="25" t="s">
        <v>223</v>
      </c>
      <c r="B6" s="25">
        <v>715</v>
      </c>
      <c r="C6" s="25">
        <v>796</v>
      </c>
      <c r="D6" s="25">
        <v>895</v>
      </c>
      <c r="E6" s="25">
        <v>946</v>
      </c>
      <c r="F6" s="79">
        <v>1021</v>
      </c>
    </row>
    <row r="7" spans="1:6" ht="15.75" thickBot="1" x14ac:dyDescent="0.25">
      <c r="A7" s="25" t="s">
        <v>220</v>
      </c>
      <c r="B7" s="85">
        <v>250</v>
      </c>
      <c r="C7" s="85">
        <v>246</v>
      </c>
      <c r="D7" s="85">
        <v>283</v>
      </c>
      <c r="E7" s="85">
        <v>306</v>
      </c>
      <c r="F7" s="85">
        <v>358</v>
      </c>
    </row>
    <row r="8" spans="1:6" x14ac:dyDescent="0.2">
      <c r="A8" s="25" t="s">
        <v>224</v>
      </c>
      <c r="B8" s="25">
        <f>SUM(B6:B7)</f>
        <v>965</v>
      </c>
      <c r="C8" s="25">
        <f t="shared" ref="C8:F8" si="0">SUM(C6:C7)</f>
        <v>1042</v>
      </c>
      <c r="D8" s="25">
        <f t="shared" si="0"/>
        <v>1178</v>
      </c>
      <c r="E8" s="25">
        <f t="shared" si="0"/>
        <v>1252</v>
      </c>
      <c r="F8" s="25">
        <f t="shared" si="0"/>
        <v>1379</v>
      </c>
    </row>
    <row r="9" spans="1:6" x14ac:dyDescent="0.2">
      <c r="A9" s="25"/>
      <c r="B9" s="25"/>
      <c r="C9" s="25"/>
      <c r="D9" s="25"/>
      <c r="E9" s="25"/>
      <c r="F9" s="25"/>
    </row>
    <row r="10" spans="1:6" x14ac:dyDescent="0.2">
      <c r="A10" s="25"/>
      <c r="B10" s="25"/>
      <c r="C10" s="25"/>
      <c r="D10" s="25"/>
      <c r="E10" s="25"/>
      <c r="F10"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Integrated financial statement</vt:lpstr>
      <vt:lpstr>DCF</vt:lpstr>
      <vt:lpstr>WACC</vt:lpstr>
      <vt:lpstr>CAPM</vt:lpstr>
      <vt:lpstr>Consolidated I S 2016</vt:lpstr>
      <vt:lpstr>Consolidated BS 2015</vt:lpstr>
      <vt:lpstr>Consolidated BS 2016</vt:lpstr>
      <vt:lpstr>Consolidated C F 2016</vt:lpstr>
      <vt:lpstr>Treasury Stock</vt:lpstr>
      <vt:lpstr>Note 3</vt:lpstr>
      <vt:lpstr>LT Assets</vt:lpstr>
      <vt:lpstr>Hist_Yr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Rojas Nader</dc:creator>
  <cp:lastModifiedBy>Jose Lopez</cp:lastModifiedBy>
  <dcterms:created xsi:type="dcterms:W3CDTF">2018-01-28T20:01:03Z</dcterms:created>
  <dcterms:modified xsi:type="dcterms:W3CDTF">2018-05-29T14:41:16Z</dcterms:modified>
</cp:coreProperties>
</file>